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4635" windowHeight="6720" activeTab="0"/>
  </bookViews>
  <sheets>
    <sheet name="liikmemaks 2009" sheetId="1" r:id="rId1"/>
    <sheet name="HTF Lisa_2008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Toomas V?lim?e</author>
  </authors>
  <commentList>
    <comment ref="F20" authorId="0">
      <text>
        <r>
          <rPr>
            <b/>
            <sz val="8"/>
            <rFont val="Tahoma"/>
            <family val="2"/>
          </rPr>
          <t>Toomas Välimäe:</t>
        </r>
        <r>
          <rPr>
            <sz val="8"/>
            <rFont val="Tahoma"/>
            <family val="2"/>
          </rPr>
          <t xml:space="preserve">
pluss Loksa valla osa</t>
        </r>
      </text>
    </comment>
  </commentList>
</comments>
</file>

<file path=xl/sharedStrings.xml><?xml version="1.0" encoding="utf-8"?>
<sst xmlns="http://schemas.openxmlformats.org/spreadsheetml/2006/main" count="140" uniqueCount="84">
  <si>
    <t>Kernu vald</t>
  </si>
  <si>
    <t>Kokku</t>
  </si>
  <si>
    <t>Tallinn</t>
  </si>
  <si>
    <t>Keila linn</t>
  </si>
  <si>
    <t>Loksa linn</t>
  </si>
  <si>
    <t>Maardu linn</t>
  </si>
  <si>
    <t>Paldiski linn</t>
  </si>
  <si>
    <t>Saue linn</t>
  </si>
  <si>
    <t>Aegviidu vald</t>
  </si>
  <si>
    <t>Anija vald</t>
  </si>
  <si>
    <t>Harku vald</t>
  </si>
  <si>
    <t>Jõelähtme vald</t>
  </si>
  <si>
    <t>Keila vald</t>
  </si>
  <si>
    <t>Kiili vald</t>
  </si>
  <si>
    <t>Kose vald</t>
  </si>
  <si>
    <t>Kuusalu vald</t>
  </si>
  <si>
    <t>Kõue vald</t>
  </si>
  <si>
    <t>Nissi vald</t>
  </si>
  <si>
    <t>Padise vald</t>
  </si>
  <si>
    <t>Raasiku vald</t>
  </si>
  <si>
    <t>Rae vald</t>
  </si>
  <si>
    <t>Saku vald</t>
  </si>
  <si>
    <t>Saue vald</t>
  </si>
  <si>
    <t>Vasalemma vald</t>
  </si>
  <si>
    <t>Viimsi vald</t>
  </si>
  <si>
    <t>Püsiosa</t>
  </si>
  <si>
    <t>Summa</t>
  </si>
  <si>
    <t>Vahe</t>
  </si>
  <si>
    <t>Omavalitsus-üksus</t>
  </si>
  <si>
    <t>Kuup</t>
  </si>
  <si>
    <t>Maksta</t>
  </si>
  <si>
    <t>Arve nr</t>
  </si>
  <si>
    <t>Kpv</t>
  </si>
  <si>
    <t>kokku</t>
  </si>
  <si>
    <t>Elanike arvult</t>
  </si>
  <si>
    <t>Elanike arv 01.01.04</t>
  </si>
  <si>
    <t>Laekumine</t>
  </si>
  <si>
    <t>kuup</t>
  </si>
  <si>
    <t>summa</t>
  </si>
  <si>
    <t>HTF summa</t>
  </si>
  <si>
    <t>Elanikke 01.01.05</t>
  </si>
  <si>
    <t>Elanike arv 01.10.04</t>
  </si>
  <si>
    <t>Õpilas- ja noorsooüritused</t>
  </si>
  <si>
    <t>Nõustamine, ainesekts</t>
  </si>
  <si>
    <t>RE 2004</t>
  </si>
  <si>
    <t>Täiendav LM</t>
  </si>
  <si>
    <t>Vahe 2005-2004</t>
  </si>
  <si>
    <t>Jaotus 2004</t>
  </si>
  <si>
    <t>Jaotusettepanek 2005</t>
  </si>
  <si>
    <t>VVm nr 27; 08.02.2005</t>
  </si>
  <si>
    <t>Muutus</t>
  </si>
  <si>
    <t>19.04. ja 27.07</t>
  </si>
  <si>
    <t>LM 2005</t>
  </si>
  <si>
    <t>Elanikud</t>
  </si>
  <si>
    <t>RR 01.10.2005</t>
  </si>
  <si>
    <t>RR 01.01.2006</t>
  </si>
  <si>
    <t>üritused</t>
  </si>
  <si>
    <t>ainesekts jms</t>
  </si>
  <si>
    <t>nõust. kom, ainesekts jms</t>
  </si>
  <si>
    <t>RaMi arvutus</t>
  </si>
  <si>
    <t>Nõust</t>
  </si>
  <si>
    <t>Üritused</t>
  </si>
  <si>
    <t>Vahe 2006-2005</t>
  </si>
  <si>
    <t>Jaotus</t>
  </si>
  <si>
    <t>Jaotus 2006</t>
  </si>
  <si>
    <t xml:space="preserve"> 1 / 15</t>
  </si>
  <si>
    <t>RaMi arvutus 17.01.2007</t>
  </si>
  <si>
    <t>Magdaleena kinnistu enampakkumise kuulutused</t>
  </si>
  <si>
    <t>Muutus LM</t>
  </si>
  <si>
    <t>Jääb KOV-le</t>
  </si>
  <si>
    <t>KÕIK KOKKU 2009</t>
  </si>
  <si>
    <r>
      <t>ÜÜ-d</t>
    </r>
    <r>
      <rPr>
        <sz val="10"/>
        <color indexed="45"/>
        <rFont val="Arial"/>
        <family val="2"/>
      </rPr>
      <t xml:space="preserve"> (2008 tase; 75%)</t>
    </r>
  </si>
  <si>
    <t>Liikmemaks 2008 (kõik kokku)</t>
  </si>
  <si>
    <t>Elanike arv seisuga 1.01.2009</t>
  </si>
  <si>
    <t xml:space="preserve">Liikmemaks 2009 </t>
  </si>
  <si>
    <t>KOKKU</t>
  </si>
  <si>
    <t>VAHE</t>
  </si>
  <si>
    <t>%</t>
  </si>
  <si>
    <t>Kehtiv:</t>
  </si>
  <si>
    <t>VVm  01.02.2009</t>
  </si>
  <si>
    <t>Jaotus 2009</t>
  </si>
  <si>
    <r>
      <t xml:space="preserve">         V</t>
    </r>
    <r>
      <rPr>
        <b/>
        <sz val="10"/>
        <rFont val="Arial"/>
        <family val="2"/>
      </rPr>
      <t>ahe (2009-2008):</t>
    </r>
  </si>
  <si>
    <t>Õpilas- ja noorte- üritused</t>
  </si>
  <si>
    <t>Eraldised ainesektsioo- nideks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</si>
</sst>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d\-mmm\-yy"/>
    <numFmt numFmtId="166" formatCode="0.0%"/>
    <numFmt numFmtId="167" formatCode="#,##0.0_ ;[Red]\-#,##0.0\ "/>
    <numFmt numFmtId="168" formatCode="0.0"/>
    <numFmt numFmtId="169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45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E6ADE"/>
      <name val="Arial"/>
      <family val="2"/>
    </font>
    <font>
      <sz val="10"/>
      <color rgb="FFFE6ADE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" fontId="0" fillId="0" borderId="1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0" fontId="61" fillId="0" borderId="12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9" fontId="3" fillId="0" borderId="12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 quotePrefix="1">
      <alignment horizontal="right"/>
    </xf>
    <xf numFmtId="164" fontId="62" fillId="0" borderId="12" xfId="0" applyNumberFormat="1" applyFont="1" applyBorder="1" applyAlignment="1">
      <alignment/>
    </xf>
    <xf numFmtId="164" fontId="62" fillId="0" borderId="12" xfId="0" applyNumberFormat="1" applyFont="1" applyBorder="1" applyAlignment="1">
      <alignment horizontal="center" vertical="center" wrapText="1"/>
    </xf>
    <xf numFmtId="164" fontId="63" fillId="0" borderId="12" xfId="0" applyNumberFormat="1" applyFont="1" applyBorder="1" applyAlignment="1">
      <alignment/>
    </xf>
    <xf numFmtId="164" fontId="60" fillId="0" borderId="12" xfId="0" applyNumberFormat="1" applyFont="1" applyBorder="1" applyAlignment="1" quotePrefix="1">
      <alignment horizontal="center"/>
    </xf>
    <xf numFmtId="164" fontId="64" fillId="0" borderId="12" xfId="0" applyNumberFormat="1" applyFont="1" applyBorder="1" applyAlignment="1">
      <alignment horizontal="center" vertical="center" wrapText="1"/>
    </xf>
    <xf numFmtId="164" fontId="65" fillId="0" borderId="12" xfId="0" applyNumberFormat="1" applyFont="1" applyBorder="1" applyAlignment="1">
      <alignment/>
    </xf>
    <xf numFmtId="164" fontId="64" fillId="0" borderId="12" xfId="0" applyNumberFormat="1" applyFont="1" applyBorder="1" applyAlignment="1">
      <alignment/>
    </xf>
    <xf numFmtId="164" fontId="66" fillId="0" borderId="12" xfId="0" applyNumberFormat="1" applyFont="1" applyBorder="1" applyAlignment="1">
      <alignment horizontal="center" vertical="center" wrapText="1"/>
    </xf>
    <xf numFmtId="164" fontId="67" fillId="0" borderId="12" xfId="0" applyNumberFormat="1" applyFont="1" applyBorder="1" applyAlignment="1">
      <alignment/>
    </xf>
    <xf numFmtId="164" fontId="66" fillId="0" borderId="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6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62" fillId="0" borderId="12" xfId="0" applyNumberFormat="1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3" fontId="68" fillId="0" borderId="12" xfId="0" applyNumberFormat="1" applyFont="1" applyFill="1" applyBorder="1" applyAlignment="1">
      <alignment/>
    </xf>
    <xf numFmtId="3" fontId="69" fillId="0" borderId="12" xfId="0" applyNumberFormat="1" applyFont="1" applyBorder="1" applyAlignment="1">
      <alignment/>
    </xf>
    <xf numFmtId="14" fontId="69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3" fontId="59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3" fontId="70" fillId="0" borderId="17" xfId="0" applyNumberFormat="1" applyFont="1" applyBorder="1" applyAlignment="1">
      <alignment/>
    </xf>
    <xf numFmtId="3" fontId="62" fillId="0" borderId="15" xfId="0" applyNumberFormat="1" applyFont="1" applyBorder="1" applyAlignment="1">
      <alignment/>
    </xf>
    <xf numFmtId="0" fontId="59" fillId="0" borderId="17" xfId="0" applyFont="1" applyBorder="1" applyAlignment="1">
      <alignment/>
    </xf>
    <xf numFmtId="3" fontId="71" fillId="0" borderId="15" xfId="0" applyNumberFormat="1" applyFont="1" applyBorder="1" applyAlignment="1">
      <alignment/>
    </xf>
    <xf numFmtId="0" fontId="59" fillId="0" borderId="18" xfId="0" applyFont="1" applyBorder="1" applyAlignment="1">
      <alignment/>
    </xf>
    <xf numFmtId="3" fontId="59" fillId="0" borderId="18" xfId="0" applyNumberFormat="1" applyFont="1" applyBorder="1" applyAlignment="1">
      <alignment/>
    </xf>
    <xf numFmtId="3" fontId="70" fillId="0" borderId="18" xfId="0" applyNumberFormat="1" applyFont="1" applyBorder="1" applyAlignment="1">
      <alignment/>
    </xf>
    <xf numFmtId="0" fontId="59" fillId="0" borderId="18" xfId="0" applyFont="1" applyBorder="1" applyAlignment="1">
      <alignment/>
    </xf>
    <xf numFmtId="164" fontId="62" fillId="0" borderId="19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7" fontId="16" fillId="33" borderId="12" xfId="0" applyNumberFormat="1" applyFont="1" applyFill="1" applyBorder="1" applyAlignment="1">
      <alignment/>
    </xf>
    <xf numFmtId="168" fontId="16" fillId="33" borderId="13" xfId="0" applyNumberFormat="1" applyFont="1" applyFill="1" applyBorder="1" applyAlignment="1">
      <alignment/>
    </xf>
    <xf numFmtId="3" fontId="70" fillId="0" borderId="16" xfId="0" applyNumberFormat="1" applyFont="1" applyBorder="1" applyAlignment="1">
      <alignment/>
    </xf>
    <xf numFmtId="0" fontId="62" fillId="0" borderId="12" xfId="0" applyFont="1" applyBorder="1" applyAlignment="1">
      <alignment/>
    </xf>
    <xf numFmtId="0" fontId="0" fillId="34" borderId="16" xfId="0" applyFont="1" applyFill="1" applyBorder="1" applyAlignment="1">
      <alignment/>
    </xf>
    <xf numFmtId="0" fontId="2" fillId="0" borderId="20" xfId="0" applyFont="1" applyBorder="1" applyAlignment="1">
      <alignment/>
    </xf>
    <xf numFmtId="0" fontId="70" fillId="0" borderId="21" xfId="0" applyFont="1" applyBorder="1" applyAlignment="1">
      <alignment/>
    </xf>
    <xf numFmtId="168" fontId="0" fillId="34" borderId="13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3" fontId="70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L\HOL_2004\Haridus_2004\EW_Hariduse%20reservi%20jaotus_2002-2004_260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irsumma 2004"/>
      <sheetName val="Ürituste rahastamine 2004"/>
    </sheetNames>
    <sheetDataSet>
      <sheetData sheetId="1">
        <row r="8">
          <cell r="J8">
            <v>72090</v>
          </cell>
        </row>
        <row r="9">
          <cell r="J9">
            <v>23519</v>
          </cell>
        </row>
        <row r="10">
          <cell r="J10">
            <v>95608</v>
          </cell>
        </row>
        <row r="11">
          <cell r="J11">
            <v>27098</v>
          </cell>
        </row>
        <row r="12">
          <cell r="J12">
            <v>36812</v>
          </cell>
        </row>
        <row r="13">
          <cell r="J13">
            <v>4602</v>
          </cell>
        </row>
        <row r="14">
          <cell r="J14">
            <v>37835</v>
          </cell>
        </row>
        <row r="15">
          <cell r="J15">
            <v>40391</v>
          </cell>
        </row>
        <row r="16">
          <cell r="J16">
            <v>28120</v>
          </cell>
        </row>
        <row r="17">
          <cell r="J17">
            <v>14827</v>
          </cell>
        </row>
        <row r="18">
          <cell r="J18">
            <v>10737</v>
          </cell>
        </row>
        <row r="19">
          <cell r="J19">
            <v>15850</v>
          </cell>
        </row>
        <row r="20">
          <cell r="J20">
            <v>38857</v>
          </cell>
        </row>
        <row r="21">
          <cell r="J21">
            <v>33744</v>
          </cell>
        </row>
        <row r="22">
          <cell r="J22">
            <v>11759</v>
          </cell>
        </row>
        <row r="24">
          <cell r="J24">
            <v>20451</v>
          </cell>
        </row>
        <row r="25">
          <cell r="J25">
            <v>12271</v>
          </cell>
        </row>
        <row r="26">
          <cell r="J26">
            <v>27609</v>
          </cell>
        </row>
        <row r="27">
          <cell r="J27">
            <v>45504</v>
          </cell>
        </row>
        <row r="28">
          <cell r="J28">
            <v>47549</v>
          </cell>
        </row>
        <row r="29">
          <cell r="J29">
            <v>27609</v>
          </cell>
        </row>
        <row r="30">
          <cell r="J30">
            <v>14316</v>
          </cell>
        </row>
        <row r="31">
          <cell r="J31">
            <v>54707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pane xSplit="4" ySplit="2" topLeftCell="E3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V34" sqref="V34"/>
    </sheetView>
  </sheetViews>
  <sheetFormatPr defaultColWidth="9.140625" defaultRowHeight="12.75"/>
  <cols>
    <col min="1" max="1" width="5.28125" style="0" customWidth="1"/>
    <col min="2" max="2" width="16.28125" style="0" bestFit="1" customWidth="1"/>
    <col min="3" max="6" width="9.140625" style="0" hidden="1" customWidth="1"/>
    <col min="7" max="7" width="9.8515625" style="82" hidden="1" customWidth="1"/>
    <col min="8" max="8" width="9.8515625" style="65" hidden="1" customWidth="1"/>
    <col min="9" max="9" width="0" style="0" hidden="1" customWidth="1"/>
    <col min="10" max="10" width="0" style="17" hidden="1" customWidth="1"/>
    <col min="11" max="11" width="18.28125" style="84" customWidth="1"/>
    <col min="12" max="12" width="10.7109375" style="101" customWidth="1"/>
    <col min="13" max="15" width="10.7109375" style="0" customWidth="1"/>
    <col min="16" max="16" width="10.7109375" style="101" customWidth="1"/>
    <col min="17" max="17" width="12.421875" style="0" customWidth="1"/>
    <col min="18" max="18" width="10.7109375" style="0" customWidth="1"/>
    <col min="19" max="19" width="6.140625" style="0" bestFit="1" customWidth="1"/>
    <col min="20" max="20" width="5.8515625" style="0" bestFit="1" customWidth="1"/>
  </cols>
  <sheetData>
    <row r="1" spans="12:18" ht="15.75">
      <c r="L1" s="183" t="s">
        <v>74</v>
      </c>
      <c r="M1" s="184"/>
      <c r="N1" s="184"/>
      <c r="O1" s="184"/>
      <c r="P1" s="184"/>
      <c r="Q1" s="184"/>
      <c r="R1" s="184"/>
    </row>
    <row r="2" spans="1:20" s="9" customFormat="1" ht="51" customHeight="1">
      <c r="A2" s="4"/>
      <c r="B2" s="7" t="s">
        <v>28</v>
      </c>
      <c r="C2" s="31" t="s">
        <v>35</v>
      </c>
      <c r="D2" s="31" t="s">
        <v>41</v>
      </c>
      <c r="E2" s="31" t="s">
        <v>40</v>
      </c>
      <c r="F2" s="31" t="s">
        <v>52</v>
      </c>
      <c r="G2" s="73" t="s">
        <v>54</v>
      </c>
      <c r="H2" s="60" t="s">
        <v>55</v>
      </c>
      <c r="I2" s="40" t="s">
        <v>25</v>
      </c>
      <c r="J2" s="58" t="s">
        <v>34</v>
      </c>
      <c r="K2" s="43" t="s">
        <v>72</v>
      </c>
      <c r="L2" s="153" t="s">
        <v>73</v>
      </c>
      <c r="M2" s="43" t="s">
        <v>25</v>
      </c>
      <c r="N2" s="43" t="s">
        <v>53</v>
      </c>
      <c r="O2" s="137" t="s">
        <v>1</v>
      </c>
      <c r="P2" s="140" t="s">
        <v>71</v>
      </c>
      <c r="Q2" s="143" t="s">
        <v>70</v>
      </c>
      <c r="R2" s="137" t="s">
        <v>68</v>
      </c>
      <c r="S2" s="185"/>
      <c r="T2" s="186"/>
    </row>
    <row r="3" spans="1:20" ht="15.75">
      <c r="A3" s="5"/>
      <c r="B3" s="7"/>
      <c r="C3" s="29"/>
      <c r="D3" s="29"/>
      <c r="E3" s="37">
        <v>13</v>
      </c>
      <c r="F3" s="37">
        <v>70000</v>
      </c>
      <c r="G3" s="74"/>
      <c r="H3" s="61"/>
      <c r="I3" s="29">
        <v>70000</v>
      </c>
      <c r="J3" s="29">
        <v>13</v>
      </c>
      <c r="K3" s="67"/>
      <c r="L3" s="107"/>
      <c r="M3" s="67">
        <v>70000</v>
      </c>
      <c r="N3" s="174">
        <v>12.5</v>
      </c>
      <c r="O3" s="138"/>
      <c r="P3" s="141"/>
      <c r="Q3" s="144"/>
      <c r="R3" s="44"/>
      <c r="S3" s="12"/>
      <c r="T3" s="3"/>
    </row>
    <row r="4" spans="1:20" ht="12.75">
      <c r="A4" s="26"/>
      <c r="B4" s="55"/>
      <c r="C4" s="18"/>
      <c r="D4" s="18"/>
      <c r="E4" s="22"/>
      <c r="F4" s="22"/>
      <c r="G4" s="75"/>
      <c r="H4" s="62"/>
      <c r="I4" s="17"/>
      <c r="K4" s="88"/>
      <c r="L4" s="107"/>
      <c r="M4" s="44"/>
      <c r="N4" s="139" t="s">
        <v>65</v>
      </c>
      <c r="O4" s="138"/>
      <c r="P4" s="141"/>
      <c r="Q4" s="144"/>
      <c r="R4" s="44"/>
      <c r="S4" s="12"/>
      <c r="T4" s="3"/>
    </row>
    <row r="5" spans="1:22" s="72" customFormat="1" ht="12.75">
      <c r="A5" s="86">
        <v>1</v>
      </c>
      <c r="B5" s="87" t="s">
        <v>2</v>
      </c>
      <c r="C5" s="70">
        <v>389642</v>
      </c>
      <c r="D5" s="70"/>
      <c r="E5" s="71">
        <v>398537</v>
      </c>
      <c r="F5" s="71"/>
      <c r="G5" s="76">
        <v>399791</v>
      </c>
      <c r="H5" s="69">
        <v>400376</v>
      </c>
      <c r="I5" s="29">
        <f>SUM(I$3)</f>
        <v>70000</v>
      </c>
      <c r="J5" s="29">
        <f>SUM(H5*$E$3)</f>
        <v>5204888</v>
      </c>
      <c r="K5" s="88">
        <v>417832</v>
      </c>
      <c r="L5" s="71">
        <v>403959</v>
      </c>
      <c r="M5" s="88">
        <f>SUM(M3)</f>
        <v>70000</v>
      </c>
      <c r="N5" s="88">
        <f>ROUND((L5*N$3)/15,0)</f>
        <v>336633</v>
      </c>
      <c r="O5" s="136">
        <f>SUM(M5:N5)</f>
        <v>406633</v>
      </c>
      <c r="P5" s="142">
        <v>0</v>
      </c>
      <c r="Q5" s="145">
        <f>SUM(O5:P5)</f>
        <v>406633</v>
      </c>
      <c r="R5" s="88">
        <f>Q5-K5</f>
        <v>-11199</v>
      </c>
      <c r="S5" s="91"/>
      <c r="T5" s="103"/>
      <c r="V5" s="146"/>
    </row>
    <row r="6" spans="1:22" ht="12.75">
      <c r="A6" s="6"/>
      <c r="B6" s="57"/>
      <c r="C6" s="20"/>
      <c r="D6" s="20"/>
      <c r="E6" s="23"/>
      <c r="F6" s="23"/>
      <c r="G6" s="77"/>
      <c r="H6" s="62"/>
      <c r="I6" s="18"/>
      <c r="J6" s="18">
        <f>SUM(J5/12)</f>
        <v>433740.6666666667</v>
      </c>
      <c r="K6" s="88"/>
      <c r="L6" s="29"/>
      <c r="M6" s="88"/>
      <c r="N6" s="88"/>
      <c r="O6" s="136"/>
      <c r="P6" s="142"/>
      <c r="Q6" s="145"/>
      <c r="R6" s="88">
        <f aca="true" t="shared" si="0" ref="R6:R30">Q6-K6</f>
        <v>0</v>
      </c>
      <c r="S6" s="91"/>
      <c r="T6" s="3"/>
      <c r="V6" s="17"/>
    </row>
    <row r="7" spans="1:22" ht="12.75">
      <c r="A7" s="2">
        <f>SUM(A5+1)</f>
        <v>2</v>
      </c>
      <c r="B7" s="14" t="s">
        <v>3</v>
      </c>
      <c r="C7" s="59">
        <v>9432</v>
      </c>
      <c r="D7" s="33">
        <v>9455</v>
      </c>
      <c r="E7" s="33">
        <v>9425</v>
      </c>
      <c r="F7" s="33">
        <f>ROUND(($F$3+E7*E$3),0)</f>
        <v>192525</v>
      </c>
      <c r="G7" s="78">
        <v>9394</v>
      </c>
      <c r="H7" s="63">
        <v>9415</v>
      </c>
      <c r="I7" s="29">
        <f>SUM(I$3)</f>
        <v>70000</v>
      </c>
      <c r="J7" s="29">
        <f aca="true" t="shared" si="1" ref="J7:J15">SUM(H7*$J$3)</f>
        <v>122395</v>
      </c>
      <c r="K7" s="88">
        <v>314831</v>
      </c>
      <c r="L7" s="29">
        <v>9739</v>
      </c>
      <c r="M7" s="88">
        <f>SUM(M$3)</f>
        <v>70000</v>
      </c>
      <c r="N7" s="88">
        <f>SUM(L7*N$3)</f>
        <v>121737.5</v>
      </c>
      <c r="O7" s="136">
        <f>SUM(M7:N7)</f>
        <v>191737.5</v>
      </c>
      <c r="P7" s="142">
        <v>122550</v>
      </c>
      <c r="Q7" s="145">
        <f>SUM(O7:P7)</f>
        <v>314287.5</v>
      </c>
      <c r="R7" s="88">
        <f t="shared" si="0"/>
        <v>-543.5</v>
      </c>
      <c r="S7" s="91"/>
      <c r="T7" s="103"/>
      <c r="V7" s="17"/>
    </row>
    <row r="8" spans="1:22" ht="12.75">
      <c r="A8" s="1">
        <f aca="true" t="shared" si="2" ref="A8:A17">SUM(A7+1)</f>
        <v>3</v>
      </c>
      <c r="B8" s="8" t="s">
        <v>4</v>
      </c>
      <c r="C8" s="59">
        <v>3447</v>
      </c>
      <c r="D8" s="33">
        <v>3419</v>
      </c>
      <c r="E8" s="33">
        <v>3399</v>
      </c>
      <c r="F8" s="33">
        <f aca="true" t="shared" si="3" ref="F8:F29">ROUND(($F$3+E8*E$3),0)</f>
        <v>114187</v>
      </c>
      <c r="G8" s="78">
        <v>3356</v>
      </c>
      <c r="H8" s="63">
        <v>3358</v>
      </c>
      <c r="I8" s="29">
        <f aca="true" t="shared" si="4" ref="I8:I29">SUM(I$3)</f>
        <v>70000</v>
      </c>
      <c r="J8" s="29">
        <f t="shared" si="1"/>
        <v>43654</v>
      </c>
      <c r="K8" s="88">
        <v>147799</v>
      </c>
      <c r="L8" s="29">
        <v>3240</v>
      </c>
      <c r="M8" s="88">
        <f aca="true" t="shared" si="5" ref="M8:M29">SUM(M$3)</f>
        <v>70000</v>
      </c>
      <c r="N8" s="88">
        <f aca="true" t="shared" si="6" ref="N8:N29">SUM(L8*N$3)</f>
        <v>40500</v>
      </c>
      <c r="O8" s="136">
        <f aca="true" t="shared" si="7" ref="O8:O29">SUM(M8:N8)</f>
        <v>110500</v>
      </c>
      <c r="P8" s="142">
        <v>32250</v>
      </c>
      <c r="Q8" s="145">
        <f aca="true" t="shared" si="8" ref="Q8:Q29">SUM(O8:P8)</f>
        <v>142750</v>
      </c>
      <c r="R8" s="88">
        <f t="shared" si="0"/>
        <v>-5049</v>
      </c>
      <c r="S8" s="91"/>
      <c r="T8" s="104"/>
      <c r="V8" s="17"/>
    </row>
    <row r="9" spans="1:22" ht="12.75">
      <c r="A9" s="1">
        <f t="shared" si="2"/>
        <v>4</v>
      </c>
      <c r="B9" s="8" t="s">
        <v>5</v>
      </c>
      <c r="C9" s="59">
        <v>16134</v>
      </c>
      <c r="D9" s="33">
        <v>16239</v>
      </c>
      <c r="E9" s="33">
        <v>16336</v>
      </c>
      <c r="F9" s="33">
        <f t="shared" si="3"/>
        <v>282368</v>
      </c>
      <c r="G9" s="78">
        <v>16473</v>
      </c>
      <c r="H9" s="63">
        <v>16524</v>
      </c>
      <c r="I9" s="29">
        <f t="shared" si="4"/>
        <v>70000</v>
      </c>
      <c r="J9" s="29">
        <f t="shared" si="1"/>
        <v>214812</v>
      </c>
      <c r="K9" s="88">
        <v>443010</v>
      </c>
      <c r="L9" s="29">
        <v>16466</v>
      </c>
      <c r="M9" s="88">
        <f t="shared" si="5"/>
        <v>70000</v>
      </c>
      <c r="N9" s="88">
        <f t="shared" si="6"/>
        <v>205825</v>
      </c>
      <c r="O9" s="136">
        <f t="shared" si="7"/>
        <v>275825</v>
      </c>
      <c r="P9" s="142">
        <v>149250</v>
      </c>
      <c r="Q9" s="145">
        <f t="shared" si="8"/>
        <v>425075</v>
      </c>
      <c r="R9" s="88">
        <f t="shared" si="0"/>
        <v>-17935</v>
      </c>
      <c r="S9" s="91"/>
      <c r="T9" s="103"/>
      <c r="V9" s="17"/>
    </row>
    <row r="10" spans="1:22" ht="12.75">
      <c r="A10" s="1">
        <f t="shared" si="2"/>
        <v>5</v>
      </c>
      <c r="B10" s="8" t="s">
        <v>6</v>
      </c>
      <c r="C10" s="59">
        <v>4404</v>
      </c>
      <c r="D10" s="33">
        <v>4364</v>
      </c>
      <c r="E10" s="33">
        <v>4357</v>
      </c>
      <c r="F10" s="33"/>
      <c r="G10" s="78">
        <v>4348</v>
      </c>
      <c r="H10" s="63">
        <v>4332</v>
      </c>
      <c r="I10" s="50">
        <f>SUM(I$3)/4*3</f>
        <v>52500</v>
      </c>
      <c r="J10" s="50">
        <f>SUM(H10*$J$3)/4*3</f>
        <v>42237</v>
      </c>
      <c r="K10" s="88">
        <v>172396</v>
      </c>
      <c r="L10" s="29">
        <v>4196</v>
      </c>
      <c r="M10" s="88">
        <f t="shared" si="5"/>
        <v>70000</v>
      </c>
      <c r="N10" s="88">
        <f t="shared" si="6"/>
        <v>52450</v>
      </c>
      <c r="O10" s="136">
        <f t="shared" si="7"/>
        <v>122450</v>
      </c>
      <c r="P10" s="142">
        <v>42975</v>
      </c>
      <c r="Q10" s="145">
        <f t="shared" si="8"/>
        <v>165425</v>
      </c>
      <c r="R10" s="88">
        <f t="shared" si="0"/>
        <v>-6971</v>
      </c>
      <c r="S10" s="91"/>
      <c r="T10" s="103"/>
      <c r="V10" s="17"/>
    </row>
    <row r="11" spans="1:22" ht="12.75">
      <c r="A11" s="1">
        <f t="shared" si="2"/>
        <v>6</v>
      </c>
      <c r="B11" s="8" t="s">
        <v>7</v>
      </c>
      <c r="C11" s="59">
        <v>5375</v>
      </c>
      <c r="D11" s="33">
        <v>5377</v>
      </c>
      <c r="E11" s="33">
        <v>5388</v>
      </c>
      <c r="F11" s="33">
        <f t="shared" si="3"/>
        <v>140044</v>
      </c>
      <c r="G11" s="78">
        <f>SUM(E11/D11*D11/C11)*E11</f>
        <v>5401.031441860465</v>
      </c>
      <c r="H11" s="63">
        <v>5594</v>
      </c>
      <c r="I11" s="29">
        <f t="shared" si="4"/>
        <v>70000</v>
      </c>
      <c r="J11" s="29">
        <f t="shared" si="1"/>
        <v>72722</v>
      </c>
      <c r="K11" s="88">
        <v>220421</v>
      </c>
      <c r="L11" s="29">
        <v>5998</v>
      </c>
      <c r="M11" s="88">
        <f t="shared" si="5"/>
        <v>70000</v>
      </c>
      <c r="N11" s="88">
        <f t="shared" si="6"/>
        <v>74975</v>
      </c>
      <c r="O11" s="136">
        <f t="shared" si="7"/>
        <v>144975</v>
      </c>
      <c r="P11" s="142">
        <v>70275</v>
      </c>
      <c r="Q11" s="145">
        <f t="shared" si="8"/>
        <v>215250</v>
      </c>
      <c r="R11" s="88">
        <f t="shared" si="0"/>
        <v>-5171</v>
      </c>
      <c r="S11" s="91"/>
      <c r="T11" s="103"/>
      <c r="V11" s="17"/>
    </row>
    <row r="12" spans="1:22" ht="12.75">
      <c r="A12" s="1">
        <f t="shared" si="2"/>
        <v>7</v>
      </c>
      <c r="B12" s="8" t="s">
        <v>8</v>
      </c>
      <c r="C12" s="59">
        <v>990</v>
      </c>
      <c r="D12" s="33">
        <v>961</v>
      </c>
      <c r="E12" s="33">
        <v>963</v>
      </c>
      <c r="F12" s="33">
        <f t="shared" si="3"/>
        <v>82519</v>
      </c>
      <c r="G12" s="78">
        <v>958</v>
      </c>
      <c r="H12" s="63">
        <v>964</v>
      </c>
      <c r="I12" s="29">
        <f t="shared" si="4"/>
        <v>70000</v>
      </c>
      <c r="J12" s="29">
        <f t="shared" si="1"/>
        <v>12532</v>
      </c>
      <c r="K12" s="88">
        <v>88580</v>
      </c>
      <c r="L12" s="29">
        <v>888</v>
      </c>
      <c r="M12" s="88">
        <f t="shared" si="5"/>
        <v>70000</v>
      </c>
      <c r="N12" s="88">
        <f t="shared" si="6"/>
        <v>11100</v>
      </c>
      <c r="O12" s="136">
        <f t="shared" si="7"/>
        <v>81100</v>
      </c>
      <c r="P12" s="142">
        <v>6075</v>
      </c>
      <c r="Q12" s="145">
        <f t="shared" si="8"/>
        <v>87175</v>
      </c>
      <c r="R12" s="88">
        <f t="shared" si="0"/>
        <v>-1405</v>
      </c>
      <c r="S12" s="91"/>
      <c r="T12" s="104"/>
      <c r="V12" s="17"/>
    </row>
    <row r="13" spans="1:22" ht="12.75">
      <c r="A13" s="1">
        <f t="shared" si="2"/>
        <v>8</v>
      </c>
      <c r="B13" s="14" t="s">
        <v>9</v>
      </c>
      <c r="C13" s="59">
        <v>6404</v>
      </c>
      <c r="D13" s="33">
        <v>6387</v>
      </c>
      <c r="E13" s="33">
        <v>6375</v>
      </c>
      <c r="F13" s="33">
        <f t="shared" si="3"/>
        <v>152875</v>
      </c>
      <c r="G13" s="78">
        <v>6331</v>
      </c>
      <c r="H13" s="63">
        <v>6337</v>
      </c>
      <c r="I13" s="29">
        <f t="shared" si="4"/>
        <v>70000</v>
      </c>
      <c r="J13" s="29">
        <f t="shared" si="1"/>
        <v>82381</v>
      </c>
      <c r="K13" s="88">
        <v>215889</v>
      </c>
      <c r="L13" s="29">
        <v>6188</v>
      </c>
      <c r="M13" s="88">
        <f t="shared" si="5"/>
        <v>70000</v>
      </c>
      <c r="N13" s="88">
        <f t="shared" si="6"/>
        <v>77350</v>
      </c>
      <c r="O13" s="136">
        <f t="shared" si="7"/>
        <v>147350</v>
      </c>
      <c r="P13" s="142">
        <v>61500</v>
      </c>
      <c r="Q13" s="145">
        <f t="shared" si="8"/>
        <v>208850</v>
      </c>
      <c r="R13" s="88">
        <f t="shared" si="0"/>
        <v>-7039</v>
      </c>
      <c r="S13" s="91"/>
      <c r="T13" s="103"/>
      <c r="V13" s="17"/>
    </row>
    <row r="14" spans="1:22" ht="12.75">
      <c r="A14" s="1">
        <f t="shared" si="2"/>
        <v>9</v>
      </c>
      <c r="B14" s="8" t="s">
        <v>10</v>
      </c>
      <c r="C14" s="59">
        <v>7228</v>
      </c>
      <c r="D14" s="33">
        <v>7625</v>
      </c>
      <c r="E14" s="33">
        <v>7750</v>
      </c>
      <c r="F14" s="33">
        <f t="shared" si="3"/>
        <v>170750</v>
      </c>
      <c r="G14" s="78">
        <v>8444</v>
      </c>
      <c r="H14" s="63">
        <v>8677</v>
      </c>
      <c r="I14" s="29">
        <f t="shared" si="4"/>
        <v>70000</v>
      </c>
      <c r="J14" s="29">
        <f t="shared" si="1"/>
        <v>112801</v>
      </c>
      <c r="K14" s="88">
        <v>311154</v>
      </c>
      <c r="L14" s="29">
        <v>11058</v>
      </c>
      <c r="M14" s="88">
        <f t="shared" si="5"/>
        <v>70000</v>
      </c>
      <c r="N14" s="88">
        <f t="shared" si="6"/>
        <v>138225</v>
      </c>
      <c r="O14" s="136">
        <f t="shared" si="7"/>
        <v>208225</v>
      </c>
      <c r="P14" s="142">
        <v>108975</v>
      </c>
      <c r="Q14" s="145">
        <f t="shared" si="8"/>
        <v>317200</v>
      </c>
      <c r="R14" s="88">
        <f t="shared" si="0"/>
        <v>6046</v>
      </c>
      <c r="S14" s="91"/>
      <c r="T14" s="105"/>
      <c r="V14" s="17"/>
    </row>
    <row r="15" spans="1:22" ht="12.75">
      <c r="A15" s="1">
        <f t="shared" si="2"/>
        <v>10</v>
      </c>
      <c r="B15" s="8" t="s">
        <v>11</v>
      </c>
      <c r="C15" s="59">
        <v>5217</v>
      </c>
      <c r="D15" s="33">
        <v>5220</v>
      </c>
      <c r="E15" s="33">
        <v>5241</v>
      </c>
      <c r="F15" s="33">
        <f t="shared" si="3"/>
        <v>138133</v>
      </c>
      <c r="G15" s="78">
        <v>5326</v>
      </c>
      <c r="H15" s="63">
        <v>5292</v>
      </c>
      <c r="I15" s="29">
        <f t="shared" si="4"/>
        <v>70000</v>
      </c>
      <c r="J15" s="29">
        <f t="shared" si="1"/>
        <v>68796</v>
      </c>
      <c r="K15" s="88">
        <v>195391</v>
      </c>
      <c r="L15" s="29">
        <v>5786</v>
      </c>
      <c r="M15" s="88">
        <f t="shared" si="5"/>
        <v>70000</v>
      </c>
      <c r="N15" s="88">
        <f t="shared" si="6"/>
        <v>72325</v>
      </c>
      <c r="O15" s="136">
        <f t="shared" si="7"/>
        <v>142325</v>
      </c>
      <c r="P15" s="142">
        <v>52425</v>
      </c>
      <c r="Q15" s="145">
        <f t="shared" si="8"/>
        <v>194750</v>
      </c>
      <c r="R15" s="88">
        <f t="shared" si="0"/>
        <v>-641</v>
      </c>
      <c r="S15" s="91"/>
      <c r="T15" s="103"/>
      <c r="V15" s="17"/>
    </row>
    <row r="16" spans="1:22" ht="12.75">
      <c r="A16" s="1">
        <f t="shared" si="2"/>
        <v>11</v>
      </c>
      <c r="B16" s="8" t="s">
        <v>12</v>
      </c>
      <c r="C16" s="59">
        <v>3928</v>
      </c>
      <c r="D16" s="33">
        <v>3964</v>
      </c>
      <c r="E16" s="33">
        <v>3992</v>
      </c>
      <c r="F16" s="33"/>
      <c r="G16" s="78">
        <v>4140</v>
      </c>
      <c r="H16" s="63">
        <v>4193</v>
      </c>
      <c r="I16" s="90">
        <f>SUM(I$3)/2</f>
        <v>35000</v>
      </c>
      <c r="J16" s="90">
        <f>SUM(H16*$J$3)/2</f>
        <v>27254.5</v>
      </c>
      <c r="K16" s="88">
        <v>165007</v>
      </c>
      <c r="L16" s="29">
        <v>4691</v>
      </c>
      <c r="M16" s="88">
        <f t="shared" si="5"/>
        <v>70000</v>
      </c>
      <c r="N16" s="88">
        <f t="shared" si="6"/>
        <v>58637.5</v>
      </c>
      <c r="O16" s="136">
        <f t="shared" si="7"/>
        <v>128637.5</v>
      </c>
      <c r="P16" s="142">
        <v>37050</v>
      </c>
      <c r="Q16" s="145">
        <f t="shared" si="8"/>
        <v>165687.5</v>
      </c>
      <c r="R16" s="88">
        <f t="shared" si="0"/>
        <v>680.5</v>
      </c>
      <c r="S16" s="91"/>
      <c r="T16" s="103"/>
      <c r="V16" s="17"/>
    </row>
    <row r="17" spans="1:22" ht="12.75">
      <c r="A17" s="1">
        <f t="shared" si="2"/>
        <v>12</v>
      </c>
      <c r="B17" s="8" t="s">
        <v>0</v>
      </c>
      <c r="C17" s="59">
        <v>1772</v>
      </c>
      <c r="D17" s="33">
        <v>1838</v>
      </c>
      <c r="E17" s="33">
        <v>1891</v>
      </c>
      <c r="F17" s="33">
        <f t="shared" si="3"/>
        <v>94583</v>
      </c>
      <c r="G17" s="78">
        <v>1911</v>
      </c>
      <c r="H17" s="63">
        <v>1941</v>
      </c>
      <c r="I17" s="29">
        <f t="shared" si="4"/>
        <v>70000</v>
      </c>
      <c r="J17" s="29">
        <f aca="true" t="shared" si="9" ref="J17:J26">SUM(H17*$J$3)</f>
        <v>25233</v>
      </c>
      <c r="K17" s="88">
        <v>118569</v>
      </c>
      <c r="L17" s="29">
        <v>2076</v>
      </c>
      <c r="M17" s="88">
        <f t="shared" si="5"/>
        <v>70000</v>
      </c>
      <c r="N17" s="88">
        <f t="shared" si="6"/>
        <v>25950</v>
      </c>
      <c r="O17" s="136">
        <f t="shared" si="7"/>
        <v>95950</v>
      </c>
      <c r="P17" s="142">
        <v>20625</v>
      </c>
      <c r="Q17" s="145">
        <f t="shared" si="8"/>
        <v>116575</v>
      </c>
      <c r="R17" s="88">
        <f t="shared" si="0"/>
        <v>-1994</v>
      </c>
      <c r="S17" s="91"/>
      <c r="T17" s="103"/>
      <c r="V17" s="17"/>
    </row>
    <row r="18" spans="1:22" ht="12.75">
      <c r="A18" s="1">
        <f aca="true" t="shared" si="10" ref="A18:A29">SUM(A17+1)</f>
        <v>13</v>
      </c>
      <c r="B18" s="14" t="s">
        <v>13</v>
      </c>
      <c r="C18" s="59">
        <v>2543</v>
      </c>
      <c r="D18" s="33">
        <v>2723</v>
      </c>
      <c r="E18" s="33">
        <v>2842</v>
      </c>
      <c r="F18" s="33">
        <f t="shared" si="3"/>
        <v>106946</v>
      </c>
      <c r="G18" s="78">
        <v>3064</v>
      </c>
      <c r="H18" s="63">
        <v>3218</v>
      </c>
      <c r="I18" s="29">
        <f t="shared" si="4"/>
        <v>70000</v>
      </c>
      <c r="J18" s="29">
        <f t="shared" si="9"/>
        <v>41834</v>
      </c>
      <c r="K18" s="88">
        <v>164022</v>
      </c>
      <c r="L18" s="29">
        <v>4182</v>
      </c>
      <c r="M18" s="88">
        <f t="shared" si="5"/>
        <v>70000</v>
      </c>
      <c r="N18" s="88">
        <f t="shared" si="6"/>
        <v>52275</v>
      </c>
      <c r="O18" s="136">
        <f t="shared" si="7"/>
        <v>122275</v>
      </c>
      <c r="P18" s="142">
        <v>43500</v>
      </c>
      <c r="Q18" s="145">
        <f t="shared" si="8"/>
        <v>165775</v>
      </c>
      <c r="R18" s="88">
        <f t="shared" si="0"/>
        <v>1753</v>
      </c>
      <c r="S18" s="91"/>
      <c r="T18" s="103"/>
      <c r="V18" s="17"/>
    </row>
    <row r="19" spans="1:22" ht="12.75">
      <c r="A19" s="1">
        <f t="shared" si="10"/>
        <v>14</v>
      </c>
      <c r="B19" s="8" t="s">
        <v>14</v>
      </c>
      <c r="C19" s="59">
        <v>5731</v>
      </c>
      <c r="D19" s="33">
        <v>5736</v>
      </c>
      <c r="E19" s="33">
        <v>5726</v>
      </c>
      <c r="F19" s="33">
        <f t="shared" si="3"/>
        <v>144438</v>
      </c>
      <c r="G19" s="78">
        <v>5761</v>
      </c>
      <c r="H19" s="63">
        <v>5775</v>
      </c>
      <c r="I19" s="29">
        <f t="shared" si="4"/>
        <v>70000</v>
      </c>
      <c r="J19" s="29">
        <f t="shared" si="9"/>
        <v>75075</v>
      </c>
      <c r="K19" s="88">
        <v>211756</v>
      </c>
      <c r="L19" s="29">
        <v>5789</v>
      </c>
      <c r="M19" s="88">
        <f t="shared" si="5"/>
        <v>70000</v>
      </c>
      <c r="N19" s="88">
        <f t="shared" si="6"/>
        <v>72362.5</v>
      </c>
      <c r="O19" s="136">
        <f t="shared" si="7"/>
        <v>142362.5</v>
      </c>
      <c r="P19" s="142">
        <v>65250</v>
      </c>
      <c r="Q19" s="145">
        <f t="shared" si="8"/>
        <v>207612.5</v>
      </c>
      <c r="R19" s="88">
        <f t="shared" si="0"/>
        <v>-4143.5</v>
      </c>
      <c r="S19" s="91"/>
      <c r="T19" s="103"/>
      <c r="V19" s="17"/>
    </row>
    <row r="20" spans="1:22" ht="12.75">
      <c r="A20" s="1">
        <f t="shared" si="10"/>
        <v>15</v>
      </c>
      <c r="B20" s="8" t="s">
        <v>15</v>
      </c>
      <c r="C20" s="59">
        <v>4726</v>
      </c>
      <c r="D20" s="33">
        <v>4719</v>
      </c>
      <c r="E20" s="33">
        <v>4764</v>
      </c>
      <c r="F20" s="33">
        <f>ROUND(($F$3+E20*E$3),0)+95675</f>
        <v>227607</v>
      </c>
      <c r="G20" s="79">
        <f>4853+1983</f>
        <v>6836</v>
      </c>
      <c r="H20" s="50">
        <v>6847</v>
      </c>
      <c r="I20" s="29">
        <f t="shared" si="4"/>
        <v>70000</v>
      </c>
      <c r="J20" s="29">
        <f t="shared" si="9"/>
        <v>89011</v>
      </c>
      <c r="K20" s="88">
        <v>230053</v>
      </c>
      <c r="L20" s="29">
        <v>6867</v>
      </c>
      <c r="M20" s="88">
        <f t="shared" si="5"/>
        <v>70000</v>
      </c>
      <c r="N20" s="88">
        <f t="shared" si="6"/>
        <v>85837.5</v>
      </c>
      <c r="O20" s="136">
        <f t="shared" si="7"/>
        <v>155837.5</v>
      </c>
      <c r="P20" s="142">
        <v>68475</v>
      </c>
      <c r="Q20" s="145">
        <f t="shared" si="8"/>
        <v>224312.5</v>
      </c>
      <c r="R20" s="88">
        <f t="shared" si="0"/>
        <v>-5740.5</v>
      </c>
      <c r="S20" s="91"/>
      <c r="T20" s="103"/>
      <c r="V20" s="17"/>
    </row>
    <row r="21" spans="1:22" ht="12.75">
      <c r="A21" s="1">
        <f t="shared" si="10"/>
        <v>16</v>
      </c>
      <c r="B21" s="8" t="s">
        <v>16</v>
      </c>
      <c r="C21" s="59">
        <v>1745</v>
      </c>
      <c r="D21" s="33">
        <v>1733</v>
      </c>
      <c r="E21" s="33">
        <v>1718</v>
      </c>
      <c r="F21" s="33">
        <f t="shared" si="3"/>
        <v>92334</v>
      </c>
      <c r="G21" s="80">
        <v>1720</v>
      </c>
      <c r="H21" s="63">
        <v>1717</v>
      </c>
      <c r="I21" s="29">
        <f t="shared" si="4"/>
        <v>70000</v>
      </c>
      <c r="J21" s="29">
        <f t="shared" si="9"/>
        <v>22321</v>
      </c>
      <c r="K21" s="88">
        <v>111574</v>
      </c>
      <c r="L21" s="29">
        <v>1686</v>
      </c>
      <c r="M21" s="88">
        <f t="shared" si="5"/>
        <v>70000</v>
      </c>
      <c r="N21" s="88">
        <f t="shared" si="6"/>
        <v>21075</v>
      </c>
      <c r="O21" s="136">
        <f t="shared" si="7"/>
        <v>91075</v>
      </c>
      <c r="P21" s="142">
        <v>17100</v>
      </c>
      <c r="Q21" s="145">
        <f t="shared" si="8"/>
        <v>108175</v>
      </c>
      <c r="R21" s="88">
        <f t="shared" si="0"/>
        <v>-3399</v>
      </c>
      <c r="S21" s="91"/>
      <c r="T21" s="103"/>
      <c r="V21" s="17"/>
    </row>
    <row r="22" spans="1:22" ht="12.75">
      <c r="A22" s="1">
        <f t="shared" si="10"/>
        <v>17</v>
      </c>
      <c r="B22" s="8" t="s">
        <v>17</v>
      </c>
      <c r="C22" s="59">
        <v>3349</v>
      </c>
      <c r="D22" s="33">
        <v>3353</v>
      </c>
      <c r="E22" s="33">
        <v>3389</v>
      </c>
      <c r="F22" s="33">
        <f t="shared" si="3"/>
        <v>114057</v>
      </c>
      <c r="G22" s="80">
        <v>3367</v>
      </c>
      <c r="H22" s="63">
        <v>3337</v>
      </c>
      <c r="I22" s="29">
        <f t="shared" si="4"/>
        <v>70000</v>
      </c>
      <c r="J22" s="29">
        <f t="shared" si="9"/>
        <v>43381</v>
      </c>
      <c r="K22" s="88">
        <v>148614</v>
      </c>
      <c r="L22" s="29">
        <v>3250</v>
      </c>
      <c r="M22" s="88">
        <f t="shared" si="5"/>
        <v>70000</v>
      </c>
      <c r="N22" s="88">
        <f t="shared" si="6"/>
        <v>40625</v>
      </c>
      <c r="O22" s="136">
        <f t="shared" si="7"/>
        <v>110625</v>
      </c>
      <c r="P22" s="142">
        <v>34275</v>
      </c>
      <c r="Q22" s="145">
        <f t="shared" si="8"/>
        <v>144900</v>
      </c>
      <c r="R22" s="88">
        <f t="shared" si="0"/>
        <v>-3714</v>
      </c>
      <c r="S22" s="91"/>
      <c r="T22" s="103"/>
      <c r="V22" s="17"/>
    </row>
    <row r="23" spans="1:22" ht="12.75">
      <c r="A23" s="1">
        <f t="shared" si="10"/>
        <v>18</v>
      </c>
      <c r="B23" s="8" t="s">
        <v>18</v>
      </c>
      <c r="C23" s="59">
        <v>1955</v>
      </c>
      <c r="D23" s="33">
        <v>1953</v>
      </c>
      <c r="E23" s="33">
        <v>1957</v>
      </c>
      <c r="F23" s="33">
        <f t="shared" si="3"/>
        <v>95441</v>
      </c>
      <c r="G23" s="80">
        <v>1973</v>
      </c>
      <c r="H23" s="63">
        <v>1975</v>
      </c>
      <c r="I23" s="29">
        <f t="shared" si="4"/>
        <v>70000</v>
      </c>
      <c r="J23" s="29">
        <f t="shared" si="9"/>
        <v>25675</v>
      </c>
      <c r="K23" s="88">
        <v>113528</v>
      </c>
      <c r="L23" s="29">
        <v>1894</v>
      </c>
      <c r="M23" s="88">
        <f t="shared" si="5"/>
        <v>70000</v>
      </c>
      <c r="N23" s="88">
        <f t="shared" si="6"/>
        <v>23675</v>
      </c>
      <c r="O23" s="136">
        <f t="shared" si="7"/>
        <v>93675</v>
      </c>
      <c r="P23" s="142">
        <v>17700</v>
      </c>
      <c r="Q23" s="145">
        <f t="shared" si="8"/>
        <v>111375</v>
      </c>
      <c r="R23" s="88">
        <f t="shared" si="0"/>
        <v>-2153</v>
      </c>
      <c r="S23" s="91"/>
      <c r="T23" s="104"/>
      <c r="V23" s="17"/>
    </row>
    <row r="24" spans="1:22" ht="12.75">
      <c r="A24" s="1">
        <f t="shared" si="10"/>
        <v>19</v>
      </c>
      <c r="B24" s="8" t="s">
        <v>19</v>
      </c>
      <c r="C24" s="59">
        <v>4489</v>
      </c>
      <c r="D24" s="33">
        <v>4494</v>
      </c>
      <c r="E24" s="33">
        <v>4465</v>
      </c>
      <c r="F24" s="33">
        <f t="shared" si="3"/>
        <v>128045</v>
      </c>
      <c r="G24" s="80">
        <v>4532</v>
      </c>
      <c r="H24" s="63">
        <v>4514</v>
      </c>
      <c r="I24" s="29">
        <f t="shared" si="4"/>
        <v>70000</v>
      </c>
      <c r="J24" s="29">
        <f t="shared" si="9"/>
        <v>58682</v>
      </c>
      <c r="K24" s="88">
        <v>179105</v>
      </c>
      <c r="L24" s="29">
        <v>4683</v>
      </c>
      <c r="M24" s="88">
        <f t="shared" si="5"/>
        <v>70000</v>
      </c>
      <c r="N24" s="88">
        <f t="shared" si="6"/>
        <v>58537.5</v>
      </c>
      <c r="O24" s="136">
        <f t="shared" si="7"/>
        <v>128537.5</v>
      </c>
      <c r="P24" s="142">
        <v>47925</v>
      </c>
      <c r="Q24" s="145">
        <f t="shared" si="8"/>
        <v>176462.5</v>
      </c>
      <c r="R24" s="88">
        <f t="shared" si="0"/>
        <v>-2642.5</v>
      </c>
      <c r="S24" s="91"/>
      <c r="T24" s="103"/>
      <c r="V24" s="17"/>
    </row>
    <row r="25" spans="1:22" ht="12.75">
      <c r="A25" s="1">
        <f t="shared" si="10"/>
        <v>20</v>
      </c>
      <c r="B25" s="8" t="s">
        <v>20</v>
      </c>
      <c r="C25" s="59">
        <v>7866</v>
      </c>
      <c r="D25" s="33">
        <v>7963</v>
      </c>
      <c r="E25" s="33">
        <v>8045</v>
      </c>
      <c r="F25" s="33">
        <f t="shared" si="3"/>
        <v>174585</v>
      </c>
      <c r="G25" s="80">
        <v>8298</v>
      </c>
      <c r="H25" s="63">
        <v>8445</v>
      </c>
      <c r="I25" s="29">
        <f t="shared" si="4"/>
        <v>70000</v>
      </c>
      <c r="J25" s="29">
        <f t="shared" si="9"/>
        <v>109785</v>
      </c>
      <c r="K25" s="88">
        <v>311069</v>
      </c>
      <c r="L25" s="29">
        <v>11043</v>
      </c>
      <c r="M25" s="88">
        <f t="shared" si="5"/>
        <v>70000</v>
      </c>
      <c r="N25" s="88">
        <f t="shared" si="6"/>
        <v>138037.5</v>
      </c>
      <c r="O25" s="136">
        <f t="shared" si="7"/>
        <v>208037.5</v>
      </c>
      <c r="P25" s="142">
        <v>114300</v>
      </c>
      <c r="Q25" s="145">
        <f t="shared" si="8"/>
        <v>322337.5</v>
      </c>
      <c r="R25" s="88">
        <f t="shared" si="0"/>
        <v>11268.5</v>
      </c>
      <c r="S25" s="91"/>
      <c r="T25" s="105"/>
      <c r="V25" s="17"/>
    </row>
    <row r="26" spans="1:22" ht="12.75">
      <c r="A26" s="1">
        <f t="shared" si="10"/>
        <v>21</v>
      </c>
      <c r="B26" s="8" t="s">
        <v>21</v>
      </c>
      <c r="C26" s="59">
        <v>7436</v>
      </c>
      <c r="D26" s="33">
        <v>7611</v>
      </c>
      <c r="E26" s="33">
        <v>7713</v>
      </c>
      <c r="F26" s="33">
        <f t="shared" si="3"/>
        <v>170269</v>
      </c>
      <c r="G26" s="80">
        <v>7935</v>
      </c>
      <c r="H26" s="63">
        <v>8015</v>
      </c>
      <c r="I26" s="29">
        <f t="shared" si="4"/>
        <v>70000</v>
      </c>
      <c r="J26" s="29">
        <f t="shared" si="9"/>
        <v>104195</v>
      </c>
      <c r="K26" s="88">
        <v>276249</v>
      </c>
      <c r="L26" s="29">
        <v>8672</v>
      </c>
      <c r="M26" s="88">
        <f t="shared" si="5"/>
        <v>70000</v>
      </c>
      <c r="N26" s="88">
        <f t="shared" si="6"/>
        <v>108400</v>
      </c>
      <c r="O26" s="136">
        <f t="shared" si="7"/>
        <v>178400</v>
      </c>
      <c r="P26" s="142">
        <v>96000</v>
      </c>
      <c r="Q26" s="145">
        <f t="shared" si="8"/>
        <v>274400</v>
      </c>
      <c r="R26" s="88">
        <f t="shared" si="0"/>
        <v>-1849</v>
      </c>
      <c r="S26" s="91"/>
      <c r="T26" s="103"/>
      <c r="V26" s="17"/>
    </row>
    <row r="27" spans="1:22" ht="12.75">
      <c r="A27" s="1">
        <f t="shared" si="10"/>
        <v>22</v>
      </c>
      <c r="B27" s="8" t="s">
        <v>22</v>
      </c>
      <c r="C27" s="59">
        <v>7333</v>
      </c>
      <c r="D27" s="33">
        <v>7486</v>
      </c>
      <c r="E27" s="33">
        <v>7569</v>
      </c>
      <c r="F27" s="33"/>
      <c r="G27" s="80">
        <v>7730</v>
      </c>
      <c r="H27" s="63">
        <v>7792</v>
      </c>
      <c r="I27" s="29">
        <f>SUM(I$3)/4</f>
        <v>17500</v>
      </c>
      <c r="J27" s="29">
        <f>SUM(H27*$J$3)/4</f>
        <v>25324</v>
      </c>
      <c r="K27" s="88">
        <v>256454</v>
      </c>
      <c r="L27" s="29">
        <v>8815</v>
      </c>
      <c r="M27" s="88">
        <f t="shared" si="5"/>
        <v>70000</v>
      </c>
      <c r="N27" s="88">
        <f t="shared" si="6"/>
        <v>110187.5</v>
      </c>
      <c r="O27" s="136">
        <f t="shared" si="7"/>
        <v>180187.5</v>
      </c>
      <c r="P27" s="142">
        <v>78675</v>
      </c>
      <c r="Q27" s="145">
        <f t="shared" si="8"/>
        <v>258862.5</v>
      </c>
      <c r="R27" s="88">
        <f t="shared" si="0"/>
        <v>2408.5</v>
      </c>
      <c r="S27" s="91"/>
      <c r="T27" s="103"/>
      <c r="V27" s="17"/>
    </row>
    <row r="28" spans="1:22" ht="12.75">
      <c r="A28" s="1">
        <f t="shared" si="10"/>
        <v>23</v>
      </c>
      <c r="B28" s="8" t="s">
        <v>23</v>
      </c>
      <c r="C28" s="59">
        <v>2796</v>
      </c>
      <c r="D28" s="33">
        <v>2821</v>
      </c>
      <c r="E28" s="33">
        <v>2842</v>
      </c>
      <c r="F28" s="33">
        <f t="shared" si="3"/>
        <v>106946</v>
      </c>
      <c r="G28" s="80">
        <v>2874</v>
      </c>
      <c r="H28" s="63">
        <v>2875</v>
      </c>
      <c r="I28" s="29">
        <f t="shared" si="4"/>
        <v>70000</v>
      </c>
      <c r="J28" s="29">
        <f>SUM(H28*$J$3)</f>
        <v>37375</v>
      </c>
      <c r="K28" s="88">
        <v>132680</v>
      </c>
      <c r="L28" s="29">
        <v>2834</v>
      </c>
      <c r="M28" s="88">
        <f t="shared" si="5"/>
        <v>70000</v>
      </c>
      <c r="N28" s="88">
        <f t="shared" si="6"/>
        <v>35425</v>
      </c>
      <c r="O28" s="136">
        <f t="shared" si="7"/>
        <v>105425</v>
      </c>
      <c r="P28" s="142">
        <v>24675</v>
      </c>
      <c r="Q28" s="145">
        <f t="shared" si="8"/>
        <v>130100</v>
      </c>
      <c r="R28" s="88">
        <f t="shared" si="0"/>
        <v>-2580</v>
      </c>
      <c r="S28" s="91"/>
      <c r="T28" s="103"/>
      <c r="V28" s="17"/>
    </row>
    <row r="29" spans="1:22" ht="12.75">
      <c r="A29" s="1">
        <f t="shared" si="10"/>
        <v>24</v>
      </c>
      <c r="B29" s="8" t="s">
        <v>24</v>
      </c>
      <c r="C29" s="59">
        <v>9900</v>
      </c>
      <c r="D29" s="33">
        <v>10521</v>
      </c>
      <c r="E29" s="33">
        <v>10771</v>
      </c>
      <c r="F29" s="33">
        <f t="shared" si="3"/>
        <v>210023</v>
      </c>
      <c r="G29" s="80">
        <v>11999</v>
      </c>
      <c r="H29" s="63">
        <v>12281</v>
      </c>
      <c r="I29" s="29">
        <f t="shared" si="4"/>
        <v>70000</v>
      </c>
      <c r="J29" s="29">
        <f>SUM(H29*$J$3)</f>
        <v>159653</v>
      </c>
      <c r="K29" s="88">
        <v>416571</v>
      </c>
      <c r="L29" s="29">
        <v>15513</v>
      </c>
      <c r="M29" s="88">
        <f t="shared" si="5"/>
        <v>70000</v>
      </c>
      <c r="N29" s="88">
        <f t="shared" si="6"/>
        <v>193912.5</v>
      </c>
      <c r="O29" s="136">
        <f t="shared" si="7"/>
        <v>263912.5</v>
      </c>
      <c r="P29" s="142">
        <v>157050</v>
      </c>
      <c r="Q29" s="145">
        <f t="shared" si="8"/>
        <v>420962.5</v>
      </c>
      <c r="R29" s="88">
        <f t="shared" si="0"/>
        <v>4391.5</v>
      </c>
      <c r="S29" s="91"/>
      <c r="T29" s="105"/>
      <c r="V29" s="17"/>
    </row>
    <row r="30" spans="3:22" ht="15.75">
      <c r="C30" s="27">
        <f>SUM(C7:C9,C11:C15,C17:C26,C28:C29)+1982</f>
        <v>110517</v>
      </c>
      <c r="D30" s="27">
        <f>SUM(D7:D9,D11:D15,D17:D26,D28:D29)+1969</f>
        <v>112117</v>
      </c>
      <c r="E30" s="27">
        <f>SUM(E7:E9,E11:E15,E17:E26,E28:E29)+1975</f>
        <v>112975</v>
      </c>
      <c r="F30" s="27">
        <f>SUM(F7:F29)</f>
        <v>2938675</v>
      </c>
      <c r="G30" s="64">
        <f>SUM(G7:G9,G11:G15,G17:G26,G28:G29)</f>
        <v>115953.03144186047</v>
      </c>
      <c r="H30" s="64">
        <f>SUM(H7:H9,H11:H15,H17:H26,H28:H29)</f>
        <v>117101</v>
      </c>
      <c r="I30" s="56">
        <f>SUM(I7:I29)</f>
        <v>1505000</v>
      </c>
      <c r="J30" s="56">
        <f>SUM(J7:J29)</f>
        <v>1617128.5</v>
      </c>
      <c r="K30" s="147">
        <v>5362554</v>
      </c>
      <c r="L30" s="152">
        <f aca="true" t="shared" si="11" ref="L30:Q30">SUM(L5:L29)</f>
        <v>549513</v>
      </c>
      <c r="M30" s="148">
        <f t="shared" si="11"/>
        <v>1680000</v>
      </c>
      <c r="N30" s="148">
        <f t="shared" si="11"/>
        <v>2156058</v>
      </c>
      <c r="O30" s="149">
        <f t="shared" si="11"/>
        <v>3836058</v>
      </c>
      <c r="P30" s="150">
        <v>1468875</v>
      </c>
      <c r="Q30" s="151">
        <f t="shared" si="11"/>
        <v>5304933</v>
      </c>
      <c r="R30" s="88">
        <f t="shared" si="0"/>
        <v>-57621</v>
      </c>
      <c r="S30" s="47"/>
      <c r="T30" s="99"/>
      <c r="V30" s="17"/>
    </row>
    <row r="31" spans="3:20" ht="12.75">
      <c r="C31" s="17"/>
      <c r="D31" s="17"/>
      <c r="E31" s="17">
        <f>SUM(E7:E29)</f>
        <v>126918</v>
      </c>
      <c r="G31" s="81">
        <f>SUM(G30-E30)</f>
        <v>2978.0314418604685</v>
      </c>
      <c r="H31" s="66">
        <f>SUM(H7:H29)</f>
        <v>133418</v>
      </c>
      <c r="I31" s="85">
        <f>SUM(I30)</f>
        <v>1505000</v>
      </c>
      <c r="J31" s="85" t="e">
        <f>SUM(J7:J29)+#REF!</f>
        <v>#REF!</v>
      </c>
      <c r="K31" s="39"/>
      <c r="L31" s="106"/>
      <c r="M31" s="39"/>
      <c r="N31" s="159"/>
      <c r="O31" s="156"/>
      <c r="P31" s="102"/>
      <c r="Q31" s="173">
        <f>Q30/Q33*100</f>
        <v>92.07924504132683</v>
      </c>
      <c r="R31" s="182" t="s">
        <v>77</v>
      </c>
      <c r="S31" s="98"/>
      <c r="T31" s="99"/>
    </row>
    <row r="32" spans="2:18" ht="15.75">
      <c r="B32" s="155" t="s">
        <v>78</v>
      </c>
      <c r="C32" s="17">
        <f>SUM(C7:C29)</f>
        <v>124200</v>
      </c>
      <c r="D32" s="17">
        <f>SUM(D7:D29)</f>
        <v>125962</v>
      </c>
      <c r="F32" s="17"/>
      <c r="G32" s="81">
        <f>SUM(G7:G29)</f>
        <v>132171.03144186048</v>
      </c>
      <c r="H32" s="45">
        <f>SUM(H30+H5/12)</f>
        <v>150465.66666666666</v>
      </c>
      <c r="K32" s="38"/>
      <c r="N32" s="175">
        <v>15</v>
      </c>
      <c r="O32" s="157"/>
      <c r="Q32" s="181"/>
      <c r="R32" s="178"/>
    </row>
    <row r="33" spans="2:18" ht="15.75">
      <c r="B33" s="179" t="s">
        <v>75</v>
      </c>
      <c r="C33" s="160"/>
      <c r="D33" s="160"/>
      <c r="E33" s="160"/>
      <c r="F33" s="160"/>
      <c r="G33" s="161"/>
      <c r="H33" s="162">
        <f>SUM(H5,H31)</f>
        <v>533794</v>
      </c>
      <c r="I33" s="163" t="e">
        <f>SUM(I31/#REF!)</f>
        <v>#REF!</v>
      </c>
      <c r="J33" s="163" t="e">
        <f>SUM(J31/#REF!)</f>
        <v>#REF!</v>
      </c>
      <c r="K33" s="163"/>
      <c r="L33" s="164"/>
      <c r="M33" s="160"/>
      <c r="N33" s="156">
        <v>2587269</v>
      </c>
      <c r="O33" s="165">
        <v>4267269</v>
      </c>
      <c r="P33" s="166"/>
      <c r="Q33" s="167">
        <v>5761269</v>
      </c>
      <c r="R33" s="177" t="s">
        <v>68</v>
      </c>
    </row>
    <row r="34" spans="2:18" ht="12.75">
      <c r="B34" s="180" t="s">
        <v>76</v>
      </c>
      <c r="C34" s="168"/>
      <c r="D34" s="168"/>
      <c r="E34" s="168"/>
      <c r="F34" s="168"/>
      <c r="G34" s="168"/>
      <c r="H34" s="168"/>
      <c r="I34" s="168"/>
      <c r="J34" s="169"/>
      <c r="K34" s="168"/>
      <c r="L34" s="170"/>
      <c r="M34" s="168"/>
      <c r="N34" s="158">
        <f>N33-N30</f>
        <v>431211</v>
      </c>
      <c r="O34" s="158">
        <f>O33-O30</f>
        <v>431211</v>
      </c>
      <c r="P34" s="171"/>
      <c r="Q34" s="176">
        <f>Q33-Q30</f>
        <v>456336</v>
      </c>
      <c r="R34" s="172">
        <f>SUM(R5:R30)</f>
        <v>-115242</v>
      </c>
    </row>
  </sheetData>
  <sheetProtection/>
  <mergeCells count="2">
    <mergeCell ref="L1:R1"/>
    <mergeCell ref="S2:T2"/>
  </mergeCells>
  <printOptions/>
  <pageMargins left="0.7874015748031497" right="0.5905511811023623" top="0.984251968503937" bottom="0.7874015748031497" header="0.3937007874015748" footer="0.3937007874015748"/>
  <pageSetup fitToHeight="1" fitToWidth="1" horizontalDpi="600" verticalDpi="600" orientation="landscape" paperSize="9" scale="98" r:id="rId3"/>
  <headerFooter alignWithMargins="0">
    <oddHeader>&amp;CHOL 2009.a liikmemaksu  prognoos&amp;R
</oddHeader>
    <oddFooter>&amp;L&amp;F - &amp;A&amp;C&amp;D&amp;R&amp;P -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PageLayoutView="0" workbookViewId="0" topLeftCell="A1">
      <pane xSplit="2" ySplit="2" topLeftCell="C3" activePane="bottomRight" state="frozen"/>
      <selection pane="topLeft" activeCell="Z21" sqref="Z21"/>
      <selection pane="topRight" activeCell="Z21" sqref="Z21"/>
      <selection pane="bottomLeft" activeCell="Z21" sqref="Z21"/>
      <selection pane="bottomRight" activeCell="AT23" sqref="AT23"/>
    </sheetView>
  </sheetViews>
  <sheetFormatPr defaultColWidth="9.140625" defaultRowHeight="12.75"/>
  <cols>
    <col min="1" max="1" width="5.57421875" style="0" customWidth="1"/>
    <col min="2" max="2" width="16.28125" style="0" bestFit="1" customWidth="1"/>
    <col min="3" max="3" width="9.140625" style="0" hidden="1" customWidth="1"/>
    <col min="4" max="4" width="10.140625" style="17" hidden="1" customWidth="1"/>
    <col min="5" max="5" width="9.140625" style="15" hidden="1" customWidth="1"/>
    <col min="6" max="6" width="7.140625" style="19" hidden="1" customWidth="1"/>
    <col min="7" max="7" width="10.00390625" style="0" hidden="1" customWidth="1"/>
    <col min="8" max="8" width="9.140625" style="0" hidden="1" customWidth="1"/>
    <col min="9" max="9" width="9.140625" style="11" hidden="1" customWidth="1"/>
    <col min="10" max="10" width="12.7109375" style="0" hidden="1" customWidth="1"/>
    <col min="11" max="11" width="10.7109375" style="0" hidden="1" customWidth="1"/>
    <col min="12" max="13" width="9.140625" style="0" hidden="1" customWidth="1"/>
    <col min="14" max="14" width="9.7109375" style="11" hidden="1" customWidth="1"/>
    <col min="15" max="15" width="11.140625" style="0" hidden="1" customWidth="1"/>
    <col min="16" max="16" width="9.140625" style="11" hidden="1" customWidth="1"/>
    <col min="17" max="17" width="9.140625" style="39" hidden="1" customWidth="1"/>
    <col min="18" max="22" width="9.140625" style="0" hidden="1" customWidth="1"/>
    <col min="23" max="23" width="9.140625" style="11" hidden="1" customWidth="1"/>
    <col min="24" max="27" width="9.140625" style="0" hidden="1" customWidth="1"/>
    <col min="28" max="29" width="9.140625" style="17" hidden="1" customWidth="1"/>
    <col min="30" max="30" width="9.140625" style="0" hidden="1" customWidth="1"/>
    <col min="31" max="31" width="9.140625" style="17" hidden="1" customWidth="1"/>
    <col min="32" max="32" width="9.140625" style="11" hidden="1" customWidth="1"/>
    <col min="33" max="35" width="0" style="0" hidden="1" customWidth="1"/>
    <col min="36" max="36" width="13.140625" style="0" customWidth="1"/>
    <col min="37" max="37" width="12.140625" style="0" customWidth="1"/>
    <col min="38" max="38" width="12.57421875" style="0" customWidth="1"/>
    <col min="39" max="39" width="12.7109375" style="0" customWidth="1"/>
    <col min="40" max="40" width="13.7109375" style="0" customWidth="1"/>
  </cols>
  <sheetData>
    <row r="1" spans="1:40" ht="15">
      <c r="A1" s="28"/>
      <c r="B1" s="28"/>
      <c r="C1" s="188" t="s">
        <v>47</v>
      </c>
      <c r="D1" s="188"/>
      <c r="E1" s="188"/>
      <c r="F1" s="188"/>
      <c r="G1" s="188"/>
      <c r="H1" s="188"/>
      <c r="I1" s="188"/>
      <c r="J1" s="188" t="s">
        <v>48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44"/>
      <c r="X1" s="188" t="s">
        <v>64</v>
      </c>
      <c r="Y1" s="188"/>
      <c r="Z1" s="188"/>
      <c r="AA1" s="188"/>
      <c r="AB1" s="188"/>
      <c r="AC1" s="188"/>
      <c r="AD1" s="188"/>
      <c r="AE1" s="188"/>
      <c r="AF1" s="188"/>
      <c r="AG1" s="188" t="s">
        <v>80</v>
      </c>
      <c r="AH1" s="188"/>
      <c r="AI1" s="188"/>
      <c r="AJ1" s="188"/>
      <c r="AK1" s="188"/>
      <c r="AL1" s="188"/>
      <c r="AM1" s="28"/>
      <c r="AN1" s="28"/>
    </row>
    <row r="2" spans="1:40" s="9" customFormat="1" ht="38.25">
      <c r="A2" s="116"/>
      <c r="B2" s="36" t="s">
        <v>28</v>
      </c>
      <c r="C2" s="36" t="s">
        <v>44</v>
      </c>
      <c r="D2" s="30" t="s">
        <v>39</v>
      </c>
      <c r="E2" s="117" t="s">
        <v>29</v>
      </c>
      <c r="F2" s="31" t="s">
        <v>31</v>
      </c>
      <c r="G2" s="190" t="s">
        <v>36</v>
      </c>
      <c r="H2" s="190"/>
      <c r="I2" s="32" t="s">
        <v>27</v>
      </c>
      <c r="J2" s="40" t="s">
        <v>43</v>
      </c>
      <c r="K2" s="40" t="s">
        <v>42</v>
      </c>
      <c r="L2" s="40" t="s">
        <v>1</v>
      </c>
      <c r="M2" s="40" t="s">
        <v>45</v>
      </c>
      <c r="N2" s="43" t="s">
        <v>46</v>
      </c>
      <c r="O2" s="40" t="s">
        <v>49</v>
      </c>
      <c r="P2" s="43" t="s">
        <v>27</v>
      </c>
      <c r="Q2" s="49" t="s">
        <v>45</v>
      </c>
      <c r="R2" s="40" t="s">
        <v>50</v>
      </c>
      <c r="S2" s="117" t="s">
        <v>29</v>
      </c>
      <c r="T2" s="31" t="s">
        <v>31</v>
      </c>
      <c r="U2" s="190" t="s">
        <v>36</v>
      </c>
      <c r="V2" s="190"/>
      <c r="W2" s="51" t="s">
        <v>30</v>
      </c>
      <c r="X2" s="189" t="s">
        <v>59</v>
      </c>
      <c r="Y2" s="189"/>
      <c r="Z2" s="189"/>
      <c r="AA2" s="40" t="s">
        <v>62</v>
      </c>
      <c r="AB2" s="58" t="s">
        <v>63</v>
      </c>
      <c r="AC2" s="58" t="s">
        <v>31</v>
      </c>
      <c r="AD2" s="40" t="s">
        <v>32</v>
      </c>
      <c r="AE2" s="58" t="s">
        <v>26</v>
      </c>
      <c r="AF2" s="43" t="s">
        <v>30</v>
      </c>
      <c r="AG2" s="187" t="s">
        <v>66</v>
      </c>
      <c r="AH2" s="187"/>
      <c r="AI2" s="187"/>
      <c r="AJ2" s="187" t="s">
        <v>79</v>
      </c>
      <c r="AK2" s="187"/>
      <c r="AL2" s="187"/>
      <c r="AM2" s="154" t="s">
        <v>80</v>
      </c>
      <c r="AN2" s="96" t="s">
        <v>69</v>
      </c>
    </row>
    <row r="3" spans="1:40" ht="38.25">
      <c r="A3" s="36"/>
      <c r="B3" s="36"/>
      <c r="C3" s="36"/>
      <c r="D3" s="118">
        <v>0.5113</v>
      </c>
      <c r="E3" s="119"/>
      <c r="F3" s="34"/>
      <c r="G3" s="34" t="s">
        <v>37</v>
      </c>
      <c r="H3" s="34" t="s">
        <v>38</v>
      </c>
      <c r="I3" s="35"/>
      <c r="J3" s="28"/>
      <c r="K3" s="28"/>
      <c r="L3" s="28"/>
      <c r="M3" s="28"/>
      <c r="N3" s="44"/>
      <c r="O3" s="28"/>
      <c r="P3" s="44"/>
      <c r="Q3" s="50"/>
      <c r="R3" s="28"/>
      <c r="S3" s="119"/>
      <c r="T3" s="34"/>
      <c r="U3" s="34" t="s">
        <v>37</v>
      </c>
      <c r="V3" s="34" t="s">
        <v>38</v>
      </c>
      <c r="W3" s="44"/>
      <c r="X3" s="68" t="s">
        <v>60</v>
      </c>
      <c r="Y3" s="68" t="s">
        <v>61</v>
      </c>
      <c r="Z3" s="68" t="s">
        <v>33</v>
      </c>
      <c r="AA3" s="28"/>
      <c r="AB3" s="120">
        <f>SUM(AB31/Z30)</f>
        <v>0.5155096011816839</v>
      </c>
      <c r="AC3" s="120"/>
      <c r="AD3" s="28"/>
      <c r="AE3" s="29"/>
      <c r="AF3" s="44"/>
      <c r="AG3" s="68" t="s">
        <v>60</v>
      </c>
      <c r="AH3" s="68" t="s">
        <v>61</v>
      </c>
      <c r="AI3" s="68" t="s">
        <v>33</v>
      </c>
      <c r="AJ3" s="194" t="s">
        <v>83</v>
      </c>
      <c r="AK3" s="194" t="s">
        <v>82</v>
      </c>
      <c r="AL3" s="68" t="s">
        <v>33</v>
      </c>
      <c r="AM3" s="29"/>
      <c r="AN3" s="28"/>
    </row>
    <row r="4" spans="1:40" ht="12.75">
      <c r="A4" s="36"/>
      <c r="B4" s="36"/>
      <c r="C4" s="36"/>
      <c r="D4" s="117"/>
      <c r="E4" s="119"/>
      <c r="F4" s="121"/>
      <c r="G4" s="28"/>
      <c r="H4" s="28"/>
      <c r="I4" s="44"/>
      <c r="J4" s="28"/>
      <c r="K4" s="28"/>
      <c r="L4" s="28"/>
      <c r="M4" s="28"/>
      <c r="N4" s="44"/>
      <c r="O4" s="28"/>
      <c r="P4" s="44"/>
      <c r="Q4" s="50"/>
      <c r="R4" s="28"/>
      <c r="S4" s="119"/>
      <c r="T4" s="121"/>
      <c r="U4" s="28"/>
      <c r="V4" s="28"/>
      <c r="W4" s="44"/>
      <c r="X4" s="28"/>
      <c r="Y4" s="28"/>
      <c r="Z4" s="28"/>
      <c r="AA4" s="28"/>
      <c r="AB4" s="29"/>
      <c r="AC4" s="29"/>
      <c r="AD4" s="28"/>
      <c r="AE4" s="29"/>
      <c r="AF4" s="44"/>
      <c r="AG4" s="28"/>
      <c r="AH4" s="28"/>
      <c r="AI4" s="28"/>
      <c r="AJ4" s="28"/>
      <c r="AK4" s="28"/>
      <c r="AL4" s="28"/>
      <c r="AM4" s="122">
        <v>0.75</v>
      </c>
      <c r="AN4" s="28"/>
    </row>
    <row r="5" spans="1:40" ht="12.75" hidden="1">
      <c r="A5" s="36"/>
      <c r="B5" s="123" t="s">
        <v>2</v>
      </c>
      <c r="C5" s="124">
        <v>4337000</v>
      </c>
      <c r="D5" s="117"/>
      <c r="E5" s="119"/>
      <c r="F5" s="121"/>
      <c r="G5" s="28"/>
      <c r="H5" s="28">
        <f>50000+50000</f>
        <v>100000</v>
      </c>
      <c r="I5" s="44"/>
      <c r="J5" s="29">
        <v>2227000</v>
      </c>
      <c r="K5" s="29">
        <v>2214510</v>
      </c>
      <c r="L5" s="69">
        <f>SUM(J5:K5)</f>
        <v>4441510</v>
      </c>
      <c r="M5" s="28"/>
      <c r="N5" s="44">
        <f>SUM(L5-C5)</f>
        <v>104510</v>
      </c>
      <c r="O5" s="28"/>
      <c r="P5" s="44"/>
      <c r="Q5" s="50"/>
      <c r="R5" s="28"/>
      <c r="S5" s="119"/>
      <c r="T5" s="121"/>
      <c r="U5" s="28"/>
      <c r="V5" s="28"/>
      <c r="W5" s="44"/>
      <c r="X5" s="28"/>
      <c r="Y5" s="28"/>
      <c r="Z5" s="28"/>
      <c r="AA5" s="28"/>
      <c r="AB5" s="29"/>
      <c r="AC5" s="29"/>
      <c r="AD5" s="28"/>
      <c r="AE5" s="29"/>
      <c r="AF5" s="44"/>
      <c r="AG5" s="28"/>
      <c r="AH5" s="28"/>
      <c r="AI5" s="28"/>
      <c r="AJ5" s="29">
        <v>1681000</v>
      </c>
      <c r="AK5" s="29">
        <v>2228000</v>
      </c>
      <c r="AL5" s="28"/>
      <c r="AM5" s="29"/>
      <c r="AN5" s="28"/>
    </row>
    <row r="6" spans="1:40" ht="12.75" hidden="1">
      <c r="A6" s="36"/>
      <c r="B6" s="36"/>
      <c r="C6" s="124"/>
      <c r="D6" s="117"/>
      <c r="E6" s="119"/>
      <c r="F6" s="121"/>
      <c r="G6" s="28"/>
      <c r="H6" s="28">
        <v>10000</v>
      </c>
      <c r="I6" s="44"/>
      <c r="J6" s="28"/>
      <c r="K6" s="28"/>
      <c r="L6" s="125"/>
      <c r="M6" s="28"/>
      <c r="N6" s="44"/>
      <c r="O6" s="28"/>
      <c r="P6" s="44"/>
      <c r="Q6" s="50"/>
      <c r="R6" s="28"/>
      <c r="S6" s="119"/>
      <c r="T6" s="121"/>
      <c r="U6" s="28"/>
      <c r="V6" s="28"/>
      <c r="W6" s="44"/>
      <c r="X6" s="28"/>
      <c r="Y6" s="28"/>
      <c r="Z6" s="28"/>
      <c r="AA6" s="28"/>
      <c r="AB6" s="29"/>
      <c r="AC6" s="29"/>
      <c r="AD6" s="28"/>
      <c r="AE6" s="29"/>
      <c r="AF6" s="44"/>
      <c r="AG6" s="28"/>
      <c r="AH6" s="28"/>
      <c r="AI6" s="28"/>
      <c r="AJ6" s="29"/>
      <c r="AK6" s="29"/>
      <c r="AL6" s="28"/>
      <c r="AM6" s="29"/>
      <c r="AN6" s="28"/>
    </row>
    <row r="7" spans="1:40" ht="12.75">
      <c r="A7" s="126">
        <v>1</v>
      </c>
      <c r="B7" s="126" t="s">
        <v>3</v>
      </c>
      <c r="C7" s="127">
        <v>141000</v>
      </c>
      <c r="D7" s="128">
        <f>'[1]Ürituste rahastamine 2004'!J8</f>
        <v>72090</v>
      </c>
      <c r="E7" s="129">
        <v>38078</v>
      </c>
      <c r="F7" s="130">
        <v>67</v>
      </c>
      <c r="G7" s="131">
        <v>38096</v>
      </c>
      <c r="H7" s="33">
        <v>72090</v>
      </c>
      <c r="I7" s="92">
        <f>SUM(H7-D7)</f>
        <v>0</v>
      </c>
      <c r="J7" s="25">
        <v>80210</v>
      </c>
      <c r="K7" s="25">
        <v>60890</v>
      </c>
      <c r="L7" s="132">
        <f>SUM(J7:K7)</f>
        <v>141100</v>
      </c>
      <c r="M7" s="33">
        <f>ROUND(L7/L$30*L$31,0)-1</f>
        <v>71745</v>
      </c>
      <c r="N7" s="133">
        <f>SUM(M7-D7)</f>
        <v>-345</v>
      </c>
      <c r="O7" s="25">
        <v>140361</v>
      </c>
      <c r="P7" s="133">
        <f>SUM(O7-L7)</f>
        <v>-739</v>
      </c>
      <c r="Q7" s="33">
        <f aca="true" t="shared" si="0" ref="Q7:Q29">ROUND(O7*O$31,0)</f>
        <v>71319</v>
      </c>
      <c r="R7" s="25">
        <f>SUM(Q7-M7)</f>
        <v>-426</v>
      </c>
      <c r="S7" s="129">
        <v>38448</v>
      </c>
      <c r="T7" s="130">
        <v>5042</v>
      </c>
      <c r="U7" s="131">
        <v>38454</v>
      </c>
      <c r="V7" s="33">
        <v>70759</v>
      </c>
      <c r="W7" s="133">
        <f>SUM(V7-Q7)</f>
        <v>-560</v>
      </c>
      <c r="X7" s="25">
        <v>61000</v>
      </c>
      <c r="Y7" s="25">
        <v>60000</v>
      </c>
      <c r="Z7" s="25">
        <f>SUM(X7:Y7)</f>
        <v>121000</v>
      </c>
      <c r="AA7" s="25">
        <f>SUM(Z7-O7)</f>
        <v>-19361</v>
      </c>
      <c r="AB7" s="25">
        <f aca="true" t="shared" si="1" ref="AB7:AB29">ROUND(Z7*AB$3,0)</f>
        <v>62377</v>
      </c>
      <c r="AC7" s="134">
        <v>5336</v>
      </c>
      <c r="AD7" s="93">
        <v>38827</v>
      </c>
      <c r="AE7" s="25">
        <v>61999</v>
      </c>
      <c r="AF7" s="133">
        <f>SUM(AE7-AB7)</f>
        <v>-378</v>
      </c>
      <c r="AG7" s="25">
        <v>59000</v>
      </c>
      <c r="AH7" s="25">
        <v>59000</v>
      </c>
      <c r="AI7" s="25">
        <f>SUM(AG7:AH7)</f>
        <v>118000</v>
      </c>
      <c r="AJ7" s="25">
        <v>82600</v>
      </c>
      <c r="AK7" s="25">
        <v>80800</v>
      </c>
      <c r="AL7" s="25">
        <f>SUM(AJ7:AK7)</f>
        <v>163400</v>
      </c>
      <c r="AM7" s="54">
        <f aca="true" t="shared" si="2" ref="AM7:AM29">SUM(AL7*AM$4)</f>
        <v>122550</v>
      </c>
      <c r="AN7" s="29">
        <f aca="true" t="shared" si="3" ref="AN7:AN29">SUM(AL7-AM7)</f>
        <v>40850</v>
      </c>
    </row>
    <row r="8" spans="1:40" ht="12.75">
      <c r="A8" s="126">
        <f>SUM(A7+1)</f>
        <v>2</v>
      </c>
      <c r="B8" s="126" t="s">
        <v>4</v>
      </c>
      <c r="C8" s="127">
        <v>46000</v>
      </c>
      <c r="D8" s="128">
        <f>'[1]Ürituste rahastamine 2004'!J9</f>
        <v>23519</v>
      </c>
      <c r="E8" s="129">
        <v>38078</v>
      </c>
      <c r="F8" s="130">
        <v>74</v>
      </c>
      <c r="G8" s="131">
        <v>38230</v>
      </c>
      <c r="H8" s="33">
        <v>23519</v>
      </c>
      <c r="I8" s="92">
        <f aca="true" t="shared" si="4" ref="I8:I29">SUM(H8-D8)</f>
        <v>0</v>
      </c>
      <c r="J8" s="25">
        <v>24760</v>
      </c>
      <c r="K8" s="25">
        <v>19860</v>
      </c>
      <c r="L8" s="132">
        <f aca="true" t="shared" si="5" ref="L8:L29">SUM(J8:K8)</f>
        <v>44620</v>
      </c>
      <c r="M8" s="33">
        <f>ROUND(L8/L$30*L$31,0)</f>
        <v>22688</v>
      </c>
      <c r="N8" s="133">
        <f aca="true" t="shared" si="6" ref="N8:N29">SUM(M8-D8)</f>
        <v>-831</v>
      </c>
      <c r="O8" s="25">
        <v>44329</v>
      </c>
      <c r="P8" s="133">
        <f aca="true" t="shared" si="7" ref="P8:P29">SUM(O8-L8)</f>
        <v>-291</v>
      </c>
      <c r="Q8" s="33">
        <f t="shared" si="0"/>
        <v>22524</v>
      </c>
      <c r="R8" s="25">
        <f aca="true" t="shared" si="8" ref="R8:R29">SUM(Q8-M8)</f>
        <v>-164</v>
      </c>
      <c r="S8" s="129">
        <v>38448</v>
      </c>
      <c r="T8" s="130">
        <f>SUM(T7+1)</f>
        <v>5043</v>
      </c>
      <c r="U8" s="131">
        <v>38503</v>
      </c>
      <c r="V8" s="33">
        <v>22347</v>
      </c>
      <c r="W8" s="133">
        <f aca="true" t="shared" si="9" ref="W8:W29">SUM(V8-Q8)</f>
        <v>-177</v>
      </c>
      <c r="X8" s="25">
        <v>18000</v>
      </c>
      <c r="Y8" s="25">
        <v>19000</v>
      </c>
      <c r="Z8" s="25">
        <f aca="true" t="shared" si="10" ref="Z8:Z29">SUM(X8:Y8)</f>
        <v>37000</v>
      </c>
      <c r="AA8" s="25">
        <f aca="true" t="shared" si="11" ref="AA8:AA29">SUM(Z8-O8)</f>
        <v>-7329</v>
      </c>
      <c r="AB8" s="25">
        <f t="shared" si="1"/>
        <v>19074</v>
      </c>
      <c r="AC8" s="134">
        <v>5337</v>
      </c>
      <c r="AD8" s="93">
        <v>38834</v>
      </c>
      <c r="AE8" s="25">
        <v>19116</v>
      </c>
      <c r="AF8" s="133">
        <f aca="true" t="shared" si="12" ref="AF8:AF29">SUM(AE8-AB8)</f>
        <v>42</v>
      </c>
      <c r="AG8" s="25">
        <v>17000</v>
      </c>
      <c r="AH8" s="25">
        <v>18000</v>
      </c>
      <c r="AI8" s="25">
        <f aca="true" t="shared" si="13" ref="AI8:AI29">SUM(AG8:AH8)</f>
        <v>35000</v>
      </c>
      <c r="AJ8" s="25">
        <v>21100</v>
      </c>
      <c r="AK8" s="25">
        <v>21900</v>
      </c>
      <c r="AL8" s="25">
        <f aca="true" t="shared" si="14" ref="AL8:AL21">SUM(AJ8:AK8)</f>
        <v>43000</v>
      </c>
      <c r="AM8" s="54">
        <f t="shared" si="2"/>
        <v>32250</v>
      </c>
      <c r="AN8" s="29">
        <f t="shared" si="3"/>
        <v>10750</v>
      </c>
    </row>
    <row r="9" spans="1:40" ht="12.75">
      <c r="A9" s="126">
        <f aca="true" t="shared" si="15" ref="A9:A29">SUM(A8+1)</f>
        <v>3</v>
      </c>
      <c r="B9" s="126" t="s">
        <v>5</v>
      </c>
      <c r="C9" s="127">
        <v>187000</v>
      </c>
      <c r="D9" s="128">
        <f>'[1]Ürituste rahastamine 2004'!J10</f>
        <v>95608</v>
      </c>
      <c r="E9" s="129">
        <v>38078</v>
      </c>
      <c r="F9" s="130">
        <v>76</v>
      </c>
      <c r="G9" s="131">
        <v>38098</v>
      </c>
      <c r="H9" s="33">
        <v>95608</v>
      </c>
      <c r="I9" s="92">
        <f t="shared" si="4"/>
        <v>0</v>
      </c>
      <c r="J9" s="25">
        <v>85590</v>
      </c>
      <c r="K9" s="25">
        <v>99990</v>
      </c>
      <c r="L9" s="132">
        <f t="shared" si="5"/>
        <v>185580</v>
      </c>
      <c r="M9" s="33">
        <f>ROUND(L9/L$30*L$31,0)-2</f>
        <v>94361</v>
      </c>
      <c r="N9" s="133">
        <f t="shared" si="6"/>
        <v>-1247</v>
      </c>
      <c r="O9" s="25">
        <v>185246</v>
      </c>
      <c r="P9" s="133">
        <f t="shared" si="7"/>
        <v>-334</v>
      </c>
      <c r="Q9" s="33">
        <f t="shared" si="0"/>
        <v>94125</v>
      </c>
      <c r="R9" s="25">
        <f t="shared" si="8"/>
        <v>-236</v>
      </c>
      <c r="S9" s="129">
        <v>38448</v>
      </c>
      <c r="T9" s="130">
        <f aca="true" t="shared" si="16" ref="T9:T29">SUM(T8+1)</f>
        <v>5044</v>
      </c>
      <c r="U9" s="131">
        <v>38461</v>
      </c>
      <c r="V9" s="33">
        <v>93387</v>
      </c>
      <c r="W9" s="133">
        <f t="shared" si="9"/>
        <v>-738</v>
      </c>
      <c r="X9" s="25">
        <v>59000</v>
      </c>
      <c r="Y9" s="25">
        <v>99000</v>
      </c>
      <c r="Z9" s="25">
        <f t="shared" si="10"/>
        <v>158000</v>
      </c>
      <c r="AA9" s="25">
        <f t="shared" si="11"/>
        <v>-27246</v>
      </c>
      <c r="AB9" s="25">
        <f t="shared" si="1"/>
        <v>81451</v>
      </c>
      <c r="AC9" s="134">
        <v>5338</v>
      </c>
      <c r="AD9" s="93">
        <v>38820</v>
      </c>
      <c r="AE9" s="25">
        <v>82148</v>
      </c>
      <c r="AF9" s="133">
        <f t="shared" si="12"/>
        <v>697</v>
      </c>
      <c r="AG9" s="25">
        <v>59000</v>
      </c>
      <c r="AH9" s="25">
        <v>98000</v>
      </c>
      <c r="AI9" s="25">
        <f t="shared" si="13"/>
        <v>157000</v>
      </c>
      <c r="AJ9" s="25">
        <v>76400</v>
      </c>
      <c r="AK9" s="25">
        <v>122600</v>
      </c>
      <c r="AL9" s="25">
        <f t="shared" si="14"/>
        <v>199000</v>
      </c>
      <c r="AM9" s="54">
        <f t="shared" si="2"/>
        <v>149250</v>
      </c>
      <c r="AN9" s="29">
        <f t="shared" si="3"/>
        <v>49750</v>
      </c>
    </row>
    <row r="10" spans="1:40" s="15" customFormat="1" ht="12.75">
      <c r="A10" s="126">
        <f t="shared" si="15"/>
        <v>4</v>
      </c>
      <c r="B10" s="126" t="s">
        <v>6</v>
      </c>
      <c r="C10" s="127">
        <v>53000</v>
      </c>
      <c r="D10" s="128">
        <f>'[1]Ürituste rahastamine 2004'!J11</f>
        <v>27098</v>
      </c>
      <c r="E10" s="129">
        <v>38078</v>
      </c>
      <c r="F10" s="130">
        <v>79</v>
      </c>
      <c r="G10" s="131">
        <v>38110</v>
      </c>
      <c r="H10" s="33">
        <v>27098</v>
      </c>
      <c r="I10" s="92">
        <f t="shared" si="4"/>
        <v>0</v>
      </c>
      <c r="J10" s="25">
        <v>25360</v>
      </c>
      <c r="K10" s="25">
        <v>25450</v>
      </c>
      <c r="L10" s="132">
        <f t="shared" si="5"/>
        <v>50810</v>
      </c>
      <c r="M10" s="33">
        <f aca="true" t="shared" si="17" ref="M10:M29">ROUND(L10/L$30*L$31,0)</f>
        <v>25836</v>
      </c>
      <c r="N10" s="133">
        <f t="shared" si="6"/>
        <v>-1262</v>
      </c>
      <c r="O10" s="25">
        <v>50562</v>
      </c>
      <c r="P10" s="133">
        <f t="shared" si="7"/>
        <v>-248</v>
      </c>
      <c r="Q10" s="33">
        <f t="shared" si="0"/>
        <v>25691</v>
      </c>
      <c r="R10" s="25">
        <f t="shared" si="8"/>
        <v>-145</v>
      </c>
      <c r="S10" s="129">
        <v>38448</v>
      </c>
      <c r="T10" s="130">
        <f t="shared" si="16"/>
        <v>5045</v>
      </c>
      <c r="U10" s="131">
        <v>38474</v>
      </c>
      <c r="V10" s="33">
        <v>25489</v>
      </c>
      <c r="W10" s="133">
        <f t="shared" si="9"/>
        <v>-202</v>
      </c>
      <c r="X10" s="25">
        <v>21000</v>
      </c>
      <c r="Y10" s="25">
        <v>24000</v>
      </c>
      <c r="Z10" s="25">
        <f t="shared" si="10"/>
        <v>45000</v>
      </c>
      <c r="AA10" s="25">
        <f t="shared" si="11"/>
        <v>-5562</v>
      </c>
      <c r="AB10" s="25">
        <f t="shared" si="1"/>
        <v>23198</v>
      </c>
      <c r="AC10" s="135">
        <v>5358</v>
      </c>
      <c r="AD10" s="93">
        <v>38828</v>
      </c>
      <c r="AE10" s="25">
        <v>23766</v>
      </c>
      <c r="AF10" s="133">
        <f t="shared" si="12"/>
        <v>568</v>
      </c>
      <c r="AG10" s="25">
        <v>23000</v>
      </c>
      <c r="AH10" s="25">
        <v>24000</v>
      </c>
      <c r="AI10" s="25">
        <f t="shared" si="13"/>
        <v>47000</v>
      </c>
      <c r="AJ10" s="25">
        <v>27600</v>
      </c>
      <c r="AK10" s="25">
        <v>29700</v>
      </c>
      <c r="AL10" s="25">
        <f t="shared" si="14"/>
        <v>57300</v>
      </c>
      <c r="AM10" s="54">
        <f t="shared" si="2"/>
        <v>42975</v>
      </c>
      <c r="AN10" s="29">
        <f t="shared" si="3"/>
        <v>14325</v>
      </c>
    </row>
    <row r="11" spans="1:40" ht="12.75">
      <c r="A11" s="126">
        <f t="shared" si="15"/>
        <v>5</v>
      </c>
      <c r="B11" s="126" t="s">
        <v>7</v>
      </c>
      <c r="C11" s="127">
        <v>72000</v>
      </c>
      <c r="D11" s="128">
        <f>'[1]Ürituste rahastamine 2004'!J12</f>
        <v>36812</v>
      </c>
      <c r="E11" s="129">
        <v>38078</v>
      </c>
      <c r="F11" s="130">
        <v>83</v>
      </c>
      <c r="G11" s="131">
        <v>38092</v>
      </c>
      <c r="H11" s="33">
        <v>36812</v>
      </c>
      <c r="I11" s="92">
        <f t="shared" si="4"/>
        <v>0</v>
      </c>
      <c r="J11" s="25">
        <v>40750</v>
      </c>
      <c r="K11" s="25">
        <v>32730</v>
      </c>
      <c r="L11" s="132">
        <f t="shared" si="5"/>
        <v>73480</v>
      </c>
      <c r="M11" s="33">
        <f t="shared" si="17"/>
        <v>37363</v>
      </c>
      <c r="N11" s="133">
        <f t="shared" si="6"/>
        <v>551</v>
      </c>
      <c r="O11" s="25">
        <v>73493</v>
      </c>
      <c r="P11" s="133">
        <f t="shared" si="7"/>
        <v>13</v>
      </c>
      <c r="Q11" s="33">
        <f t="shared" si="0"/>
        <v>37342</v>
      </c>
      <c r="R11" s="25">
        <f t="shared" si="8"/>
        <v>-21</v>
      </c>
      <c r="S11" s="129">
        <v>38448</v>
      </c>
      <c r="T11" s="130">
        <f t="shared" si="16"/>
        <v>5046</v>
      </c>
      <c r="U11" s="131">
        <v>38453</v>
      </c>
      <c r="V11" s="33">
        <v>37050</v>
      </c>
      <c r="W11" s="133">
        <f t="shared" si="9"/>
        <v>-292</v>
      </c>
      <c r="X11" s="25">
        <v>31000</v>
      </c>
      <c r="Y11" s="25">
        <v>34000</v>
      </c>
      <c r="Z11" s="25">
        <f t="shared" si="10"/>
        <v>65000</v>
      </c>
      <c r="AA11" s="25">
        <f t="shared" si="11"/>
        <v>-8493</v>
      </c>
      <c r="AB11" s="25">
        <f t="shared" si="1"/>
        <v>33508</v>
      </c>
      <c r="AC11" s="134">
        <v>5339</v>
      </c>
      <c r="AD11" s="93">
        <v>38953</v>
      </c>
      <c r="AE11" s="25">
        <v>33583</v>
      </c>
      <c r="AF11" s="133">
        <f t="shared" si="12"/>
        <v>75</v>
      </c>
      <c r="AG11" s="25">
        <v>33000</v>
      </c>
      <c r="AH11" s="25">
        <v>37000</v>
      </c>
      <c r="AI11" s="25">
        <f t="shared" si="13"/>
        <v>70000</v>
      </c>
      <c r="AJ11" s="25">
        <v>43900</v>
      </c>
      <c r="AK11" s="25">
        <v>49800</v>
      </c>
      <c r="AL11" s="25">
        <f t="shared" si="14"/>
        <v>93700</v>
      </c>
      <c r="AM11" s="54">
        <f t="shared" si="2"/>
        <v>70275</v>
      </c>
      <c r="AN11" s="29">
        <f t="shared" si="3"/>
        <v>23425</v>
      </c>
    </row>
    <row r="12" spans="1:40" ht="12.75">
      <c r="A12" s="126">
        <f t="shared" si="15"/>
        <v>6</v>
      </c>
      <c r="B12" s="126" t="s">
        <v>8</v>
      </c>
      <c r="C12" s="127">
        <v>9000</v>
      </c>
      <c r="D12" s="128">
        <f>'[1]Ürituste rahastamine 2004'!J13</f>
        <v>4602</v>
      </c>
      <c r="E12" s="129">
        <v>38078</v>
      </c>
      <c r="F12" s="130">
        <v>63</v>
      </c>
      <c r="G12" s="131">
        <v>38097</v>
      </c>
      <c r="H12" s="33">
        <v>4602</v>
      </c>
      <c r="I12" s="92">
        <f t="shared" si="4"/>
        <v>0</v>
      </c>
      <c r="J12" s="25">
        <v>3610</v>
      </c>
      <c r="K12" s="25">
        <v>4470</v>
      </c>
      <c r="L12" s="132">
        <f t="shared" si="5"/>
        <v>8080</v>
      </c>
      <c r="M12" s="33">
        <f t="shared" si="17"/>
        <v>4108</v>
      </c>
      <c r="N12" s="133">
        <f t="shared" si="6"/>
        <v>-494</v>
      </c>
      <c r="O12" s="25">
        <v>8077</v>
      </c>
      <c r="P12" s="133">
        <f t="shared" si="7"/>
        <v>-3</v>
      </c>
      <c r="Q12" s="33">
        <f t="shared" si="0"/>
        <v>4104</v>
      </c>
      <c r="R12" s="25">
        <f t="shared" si="8"/>
        <v>-4</v>
      </c>
      <c r="S12" s="129">
        <v>38448</v>
      </c>
      <c r="T12" s="130">
        <f t="shared" si="16"/>
        <v>5047</v>
      </c>
      <c r="U12" s="131">
        <v>38457</v>
      </c>
      <c r="V12" s="33">
        <v>4072</v>
      </c>
      <c r="W12" s="133">
        <f t="shared" si="9"/>
        <v>-32</v>
      </c>
      <c r="X12" s="25">
        <v>2000</v>
      </c>
      <c r="Y12" s="25">
        <v>4000</v>
      </c>
      <c r="Z12" s="25">
        <f t="shared" si="10"/>
        <v>6000</v>
      </c>
      <c r="AA12" s="25">
        <f t="shared" si="11"/>
        <v>-2077</v>
      </c>
      <c r="AB12" s="25">
        <f t="shared" si="1"/>
        <v>3093</v>
      </c>
      <c r="AC12" s="134">
        <v>5340</v>
      </c>
      <c r="AD12" s="93">
        <v>38826</v>
      </c>
      <c r="AE12" s="25">
        <v>3100</v>
      </c>
      <c r="AF12" s="133">
        <f t="shared" si="12"/>
        <v>7</v>
      </c>
      <c r="AG12" s="25">
        <v>2000</v>
      </c>
      <c r="AH12" s="25">
        <v>4000</v>
      </c>
      <c r="AI12" s="25">
        <f t="shared" si="13"/>
        <v>6000</v>
      </c>
      <c r="AJ12" s="25">
        <v>2900</v>
      </c>
      <c r="AK12" s="25">
        <v>5200</v>
      </c>
      <c r="AL12" s="25">
        <f t="shared" si="14"/>
        <v>8100</v>
      </c>
      <c r="AM12" s="54">
        <f t="shared" si="2"/>
        <v>6075</v>
      </c>
      <c r="AN12" s="29">
        <f t="shared" si="3"/>
        <v>2025</v>
      </c>
    </row>
    <row r="13" spans="1:40" ht="12.75">
      <c r="A13" s="126">
        <f t="shared" si="15"/>
        <v>7</v>
      </c>
      <c r="B13" s="126" t="s">
        <v>9</v>
      </c>
      <c r="C13" s="127">
        <v>74000</v>
      </c>
      <c r="D13" s="128">
        <f>'[1]Ürituste rahastamine 2004'!J14</f>
        <v>37835</v>
      </c>
      <c r="E13" s="129">
        <v>38078</v>
      </c>
      <c r="F13" s="130">
        <v>64</v>
      </c>
      <c r="G13" s="131">
        <v>38092</v>
      </c>
      <c r="H13" s="33">
        <v>37835</v>
      </c>
      <c r="I13" s="92">
        <f t="shared" si="4"/>
        <v>0</v>
      </c>
      <c r="J13" s="25">
        <v>34300</v>
      </c>
      <c r="K13" s="25">
        <v>39960</v>
      </c>
      <c r="L13" s="132">
        <f t="shared" si="5"/>
        <v>74260</v>
      </c>
      <c r="M13" s="33">
        <f t="shared" si="17"/>
        <v>37759</v>
      </c>
      <c r="N13" s="133">
        <f t="shared" si="6"/>
        <v>-76</v>
      </c>
      <c r="O13" s="25">
        <v>73928</v>
      </c>
      <c r="P13" s="133">
        <f t="shared" si="7"/>
        <v>-332</v>
      </c>
      <c r="Q13" s="33">
        <f t="shared" si="0"/>
        <v>37564</v>
      </c>
      <c r="R13" s="25">
        <f t="shared" si="8"/>
        <v>-195</v>
      </c>
      <c r="S13" s="129">
        <v>38448</v>
      </c>
      <c r="T13" s="130">
        <f t="shared" si="16"/>
        <v>5048</v>
      </c>
      <c r="U13" s="131" t="s">
        <v>51</v>
      </c>
      <c r="V13" s="33">
        <f>20000+17269</f>
        <v>37269</v>
      </c>
      <c r="W13" s="133">
        <f t="shared" si="9"/>
        <v>-295</v>
      </c>
      <c r="X13" s="25">
        <v>26000</v>
      </c>
      <c r="Y13" s="25">
        <v>39000</v>
      </c>
      <c r="Z13" s="25">
        <f t="shared" si="10"/>
        <v>65000</v>
      </c>
      <c r="AA13" s="25">
        <f t="shared" si="11"/>
        <v>-8928</v>
      </c>
      <c r="AB13" s="25">
        <f t="shared" si="1"/>
        <v>33508</v>
      </c>
      <c r="AC13" s="134">
        <v>5341</v>
      </c>
      <c r="AD13" s="93">
        <v>38825</v>
      </c>
      <c r="AE13" s="25">
        <v>33583</v>
      </c>
      <c r="AF13" s="133">
        <f t="shared" si="12"/>
        <v>75</v>
      </c>
      <c r="AG13" s="25">
        <v>25000</v>
      </c>
      <c r="AH13" s="25">
        <v>39000</v>
      </c>
      <c r="AI13" s="25">
        <f t="shared" si="13"/>
        <v>64000</v>
      </c>
      <c r="AJ13" s="25">
        <v>32500</v>
      </c>
      <c r="AK13" s="25">
        <v>49500</v>
      </c>
      <c r="AL13" s="25">
        <f t="shared" si="14"/>
        <v>82000</v>
      </c>
      <c r="AM13" s="54">
        <f t="shared" si="2"/>
        <v>61500</v>
      </c>
      <c r="AN13" s="29">
        <f t="shared" si="3"/>
        <v>20500</v>
      </c>
    </row>
    <row r="14" spans="1:40" ht="12.75">
      <c r="A14" s="126">
        <f t="shared" si="15"/>
        <v>8</v>
      </c>
      <c r="B14" s="126" t="s">
        <v>10</v>
      </c>
      <c r="C14" s="127">
        <v>79000</v>
      </c>
      <c r="D14" s="128">
        <f>'[1]Ürituste rahastamine 2004'!J15</f>
        <v>40391</v>
      </c>
      <c r="E14" s="129">
        <v>38078</v>
      </c>
      <c r="F14" s="130">
        <v>65</v>
      </c>
      <c r="G14" s="131">
        <v>38090</v>
      </c>
      <c r="H14" s="33">
        <v>40391</v>
      </c>
      <c r="I14" s="92">
        <f t="shared" si="4"/>
        <v>0</v>
      </c>
      <c r="J14" s="25">
        <v>34170</v>
      </c>
      <c r="K14" s="25">
        <v>50660</v>
      </c>
      <c r="L14" s="132">
        <f t="shared" si="5"/>
        <v>84830</v>
      </c>
      <c r="M14" s="33">
        <f t="shared" si="17"/>
        <v>43134</v>
      </c>
      <c r="N14" s="133">
        <f t="shared" si="6"/>
        <v>2743</v>
      </c>
      <c r="O14" s="25">
        <v>85322</v>
      </c>
      <c r="P14" s="133">
        <f t="shared" si="7"/>
        <v>492</v>
      </c>
      <c r="Q14" s="33">
        <f t="shared" si="0"/>
        <v>43353</v>
      </c>
      <c r="R14" s="25">
        <f t="shared" si="8"/>
        <v>219</v>
      </c>
      <c r="S14" s="129">
        <v>38448</v>
      </c>
      <c r="T14" s="130">
        <f t="shared" si="16"/>
        <v>5049</v>
      </c>
      <c r="U14" s="131">
        <v>38457</v>
      </c>
      <c r="V14" s="33">
        <v>43013</v>
      </c>
      <c r="W14" s="133">
        <f t="shared" si="9"/>
        <v>-340</v>
      </c>
      <c r="X14" s="25">
        <v>27000</v>
      </c>
      <c r="Y14" s="25">
        <v>58000</v>
      </c>
      <c r="Z14" s="25">
        <f t="shared" si="10"/>
        <v>85000</v>
      </c>
      <c r="AA14" s="25">
        <f t="shared" si="11"/>
        <v>-322</v>
      </c>
      <c r="AB14" s="25">
        <f t="shared" si="1"/>
        <v>43818</v>
      </c>
      <c r="AC14" s="134">
        <v>5342</v>
      </c>
      <c r="AD14" s="93">
        <v>38831</v>
      </c>
      <c r="AE14" s="25">
        <v>43399</v>
      </c>
      <c r="AF14" s="133">
        <f t="shared" si="12"/>
        <v>-419</v>
      </c>
      <c r="AG14" s="25">
        <v>29000</v>
      </c>
      <c r="AH14" s="25">
        <v>65000</v>
      </c>
      <c r="AI14" s="25">
        <f t="shared" si="13"/>
        <v>94000</v>
      </c>
      <c r="AJ14" s="25">
        <v>46700</v>
      </c>
      <c r="AK14" s="25">
        <v>98600</v>
      </c>
      <c r="AL14" s="25">
        <f t="shared" si="14"/>
        <v>145300</v>
      </c>
      <c r="AM14" s="54">
        <f t="shared" si="2"/>
        <v>108975</v>
      </c>
      <c r="AN14" s="29">
        <f t="shared" si="3"/>
        <v>36325</v>
      </c>
    </row>
    <row r="15" spans="1:40" ht="12.75">
      <c r="A15" s="126">
        <f t="shared" si="15"/>
        <v>9</v>
      </c>
      <c r="B15" s="126" t="s">
        <v>11</v>
      </c>
      <c r="C15" s="127">
        <v>55000</v>
      </c>
      <c r="D15" s="128">
        <f>'[1]Ürituste rahastamine 2004'!J16</f>
        <v>28120</v>
      </c>
      <c r="E15" s="129">
        <v>38078</v>
      </c>
      <c r="F15" s="130">
        <v>66</v>
      </c>
      <c r="G15" s="131">
        <v>38110</v>
      </c>
      <c r="H15" s="33">
        <v>28120</v>
      </c>
      <c r="I15" s="92">
        <f t="shared" si="4"/>
        <v>0</v>
      </c>
      <c r="J15" s="25">
        <v>20500</v>
      </c>
      <c r="K15" s="25">
        <v>32820</v>
      </c>
      <c r="L15" s="132">
        <f t="shared" si="5"/>
        <v>53320</v>
      </c>
      <c r="M15" s="33">
        <f t="shared" si="17"/>
        <v>27112</v>
      </c>
      <c r="N15" s="133">
        <f t="shared" si="6"/>
        <v>-1008</v>
      </c>
      <c r="O15" s="25">
        <v>53039</v>
      </c>
      <c r="P15" s="133">
        <f t="shared" si="7"/>
        <v>-281</v>
      </c>
      <c r="Q15" s="33">
        <f t="shared" si="0"/>
        <v>26950</v>
      </c>
      <c r="R15" s="25">
        <f t="shared" si="8"/>
        <v>-162</v>
      </c>
      <c r="S15" s="129">
        <v>38448</v>
      </c>
      <c r="T15" s="130">
        <f t="shared" si="16"/>
        <v>5050</v>
      </c>
      <c r="U15" s="131">
        <v>38454</v>
      </c>
      <c r="V15" s="33">
        <v>26738</v>
      </c>
      <c r="W15" s="133">
        <f t="shared" si="9"/>
        <v>-212</v>
      </c>
      <c r="X15" s="25">
        <v>16000</v>
      </c>
      <c r="Y15" s="25">
        <v>32000</v>
      </c>
      <c r="Z15" s="25">
        <f t="shared" si="10"/>
        <v>48000</v>
      </c>
      <c r="AA15" s="25">
        <f t="shared" si="11"/>
        <v>-5039</v>
      </c>
      <c r="AB15" s="25">
        <f t="shared" si="1"/>
        <v>24744</v>
      </c>
      <c r="AC15" s="134">
        <v>5343</v>
      </c>
      <c r="AD15" s="93">
        <v>38826</v>
      </c>
      <c r="AE15" s="25">
        <v>25316</v>
      </c>
      <c r="AF15" s="133">
        <f t="shared" si="12"/>
        <v>572</v>
      </c>
      <c r="AG15" s="25">
        <v>17000</v>
      </c>
      <c r="AH15" s="25">
        <v>34000</v>
      </c>
      <c r="AI15" s="25">
        <f t="shared" si="13"/>
        <v>51000</v>
      </c>
      <c r="AJ15" s="25">
        <v>23200</v>
      </c>
      <c r="AK15" s="25">
        <v>46700</v>
      </c>
      <c r="AL15" s="25">
        <f t="shared" si="14"/>
        <v>69900</v>
      </c>
      <c r="AM15" s="54">
        <f t="shared" si="2"/>
        <v>52425</v>
      </c>
      <c r="AN15" s="29">
        <f t="shared" si="3"/>
        <v>17475</v>
      </c>
    </row>
    <row r="16" spans="1:40" s="24" customFormat="1" ht="12.75">
      <c r="A16" s="126">
        <f t="shared" si="15"/>
        <v>10</v>
      </c>
      <c r="B16" s="126" t="s">
        <v>12</v>
      </c>
      <c r="C16" s="127">
        <v>29000</v>
      </c>
      <c r="D16" s="128">
        <f>'[1]Ürituste rahastamine 2004'!J17</f>
        <v>14827</v>
      </c>
      <c r="E16" s="129">
        <v>38078</v>
      </c>
      <c r="F16" s="130">
        <v>68</v>
      </c>
      <c r="G16" s="131"/>
      <c r="H16" s="33"/>
      <c r="I16" s="92">
        <f t="shared" si="4"/>
        <v>-14827</v>
      </c>
      <c r="J16" s="25">
        <v>5540</v>
      </c>
      <c r="K16" s="25">
        <v>23180</v>
      </c>
      <c r="L16" s="132">
        <f t="shared" si="5"/>
        <v>28720</v>
      </c>
      <c r="M16" s="33">
        <f t="shared" si="17"/>
        <v>14603</v>
      </c>
      <c r="N16" s="133">
        <f t="shared" si="6"/>
        <v>-224</v>
      </c>
      <c r="O16" s="25">
        <v>28661</v>
      </c>
      <c r="P16" s="133">
        <f t="shared" si="7"/>
        <v>-59</v>
      </c>
      <c r="Q16" s="33">
        <f t="shared" si="0"/>
        <v>14563</v>
      </c>
      <c r="R16" s="25">
        <f t="shared" si="8"/>
        <v>-40</v>
      </c>
      <c r="S16" s="129">
        <v>38448</v>
      </c>
      <c r="T16" s="130">
        <f t="shared" si="16"/>
        <v>5051</v>
      </c>
      <c r="U16" s="131">
        <v>38476</v>
      </c>
      <c r="V16" s="33">
        <v>14449</v>
      </c>
      <c r="W16" s="133">
        <f t="shared" si="9"/>
        <v>-114</v>
      </c>
      <c r="X16" s="25">
        <v>4000</v>
      </c>
      <c r="Y16" s="25">
        <v>24000</v>
      </c>
      <c r="Z16" s="25">
        <f t="shared" si="10"/>
        <v>28000</v>
      </c>
      <c r="AA16" s="25">
        <f t="shared" si="11"/>
        <v>-661</v>
      </c>
      <c r="AB16" s="25">
        <f t="shared" si="1"/>
        <v>14434</v>
      </c>
      <c r="AC16" s="134">
        <v>5357</v>
      </c>
      <c r="AD16" s="93">
        <v>38827</v>
      </c>
      <c r="AE16" s="25">
        <v>14466</v>
      </c>
      <c r="AF16" s="133">
        <f t="shared" si="12"/>
        <v>32</v>
      </c>
      <c r="AG16" s="25">
        <v>5000</v>
      </c>
      <c r="AH16" s="25">
        <v>26000</v>
      </c>
      <c r="AI16" s="25">
        <f t="shared" si="13"/>
        <v>31000</v>
      </c>
      <c r="AJ16" s="25">
        <v>12000</v>
      </c>
      <c r="AK16" s="25">
        <v>37400</v>
      </c>
      <c r="AL16" s="25">
        <f t="shared" si="14"/>
        <v>49400</v>
      </c>
      <c r="AM16" s="54">
        <f t="shared" si="2"/>
        <v>37050</v>
      </c>
      <c r="AN16" s="29">
        <f t="shared" si="3"/>
        <v>12350</v>
      </c>
    </row>
    <row r="17" spans="1:40" ht="12.75">
      <c r="A17" s="126">
        <f t="shared" si="15"/>
        <v>11</v>
      </c>
      <c r="B17" s="126" t="s">
        <v>0</v>
      </c>
      <c r="C17" s="127">
        <v>21000</v>
      </c>
      <c r="D17" s="128">
        <f>'[1]Ürituste rahastamine 2004'!J18</f>
        <v>10737</v>
      </c>
      <c r="E17" s="129">
        <v>38078</v>
      </c>
      <c r="F17" s="130">
        <v>69</v>
      </c>
      <c r="G17" s="131">
        <v>38097</v>
      </c>
      <c r="H17" s="33">
        <v>10737</v>
      </c>
      <c r="I17" s="92">
        <f t="shared" si="4"/>
        <v>0</v>
      </c>
      <c r="J17" s="25">
        <v>10530</v>
      </c>
      <c r="K17" s="25">
        <v>11170</v>
      </c>
      <c r="L17" s="132">
        <f t="shared" si="5"/>
        <v>21700</v>
      </c>
      <c r="M17" s="33">
        <f t="shared" si="17"/>
        <v>11034</v>
      </c>
      <c r="N17" s="133">
        <f t="shared" si="6"/>
        <v>297</v>
      </c>
      <c r="O17" s="25">
        <v>22019</v>
      </c>
      <c r="P17" s="133">
        <f t="shared" si="7"/>
        <v>319</v>
      </c>
      <c r="Q17" s="33">
        <f t="shared" si="0"/>
        <v>11188</v>
      </c>
      <c r="R17" s="25">
        <f t="shared" si="8"/>
        <v>154</v>
      </c>
      <c r="S17" s="129">
        <v>38448</v>
      </c>
      <c r="T17" s="130">
        <f t="shared" si="16"/>
        <v>5052</v>
      </c>
      <c r="U17" s="131">
        <v>38461</v>
      </c>
      <c r="V17" s="33">
        <v>11100</v>
      </c>
      <c r="W17" s="133">
        <f t="shared" si="9"/>
        <v>-88</v>
      </c>
      <c r="X17" s="25">
        <v>7000</v>
      </c>
      <c r="Y17" s="25">
        <v>12000</v>
      </c>
      <c r="Z17" s="25">
        <f t="shared" si="10"/>
        <v>19000</v>
      </c>
      <c r="AA17" s="25">
        <f t="shared" si="11"/>
        <v>-3019</v>
      </c>
      <c r="AB17" s="25">
        <f t="shared" si="1"/>
        <v>9795</v>
      </c>
      <c r="AC17" s="134">
        <v>5344</v>
      </c>
      <c r="AD17" s="93">
        <v>38819</v>
      </c>
      <c r="AE17" s="25">
        <v>9816</v>
      </c>
      <c r="AF17" s="133">
        <f t="shared" si="12"/>
        <v>21</v>
      </c>
      <c r="AG17" s="25">
        <v>7000</v>
      </c>
      <c r="AH17" s="25">
        <v>12000</v>
      </c>
      <c r="AI17" s="25">
        <f t="shared" si="13"/>
        <v>19000</v>
      </c>
      <c r="AJ17" s="25">
        <v>11100</v>
      </c>
      <c r="AK17" s="25">
        <v>16400</v>
      </c>
      <c r="AL17" s="25">
        <f t="shared" si="14"/>
        <v>27500</v>
      </c>
      <c r="AM17" s="54">
        <f t="shared" si="2"/>
        <v>20625</v>
      </c>
      <c r="AN17" s="29">
        <f t="shared" si="3"/>
        <v>6875</v>
      </c>
    </row>
    <row r="18" spans="1:40" ht="12.75">
      <c r="A18" s="126">
        <f t="shared" si="15"/>
        <v>12</v>
      </c>
      <c r="B18" s="126" t="s">
        <v>13</v>
      </c>
      <c r="C18" s="127">
        <v>31000</v>
      </c>
      <c r="D18" s="128">
        <f>'[1]Ürituste rahastamine 2004'!J19</f>
        <v>15850</v>
      </c>
      <c r="E18" s="129">
        <v>38078</v>
      </c>
      <c r="F18" s="130">
        <v>70</v>
      </c>
      <c r="G18" s="131">
        <v>38090</v>
      </c>
      <c r="H18" s="33">
        <v>15850</v>
      </c>
      <c r="I18" s="92">
        <f t="shared" si="4"/>
        <v>0</v>
      </c>
      <c r="J18" s="25">
        <v>15430</v>
      </c>
      <c r="K18" s="25">
        <v>18520</v>
      </c>
      <c r="L18" s="132">
        <f t="shared" si="5"/>
        <v>33950</v>
      </c>
      <c r="M18" s="33">
        <f t="shared" si="17"/>
        <v>17263</v>
      </c>
      <c r="N18" s="133">
        <f t="shared" si="6"/>
        <v>1413</v>
      </c>
      <c r="O18" s="25">
        <v>34393</v>
      </c>
      <c r="P18" s="133">
        <f t="shared" si="7"/>
        <v>443</v>
      </c>
      <c r="Q18" s="33">
        <f t="shared" si="0"/>
        <v>17475</v>
      </c>
      <c r="R18" s="25">
        <f t="shared" si="8"/>
        <v>212</v>
      </c>
      <c r="S18" s="129">
        <v>38448</v>
      </c>
      <c r="T18" s="130">
        <f t="shared" si="16"/>
        <v>5053</v>
      </c>
      <c r="U18" s="131">
        <v>38461</v>
      </c>
      <c r="V18" s="33">
        <v>17338</v>
      </c>
      <c r="W18" s="133">
        <f t="shared" si="9"/>
        <v>-137</v>
      </c>
      <c r="X18" s="25">
        <v>13000</v>
      </c>
      <c r="Y18" s="25">
        <v>22000</v>
      </c>
      <c r="Z18" s="25">
        <f t="shared" si="10"/>
        <v>35000</v>
      </c>
      <c r="AA18" s="25">
        <f t="shared" si="11"/>
        <v>607</v>
      </c>
      <c r="AB18" s="25">
        <f t="shared" si="1"/>
        <v>18043</v>
      </c>
      <c r="AC18" s="134">
        <v>5345</v>
      </c>
      <c r="AD18" s="93">
        <v>38831</v>
      </c>
      <c r="AE18" s="25">
        <v>17566</v>
      </c>
      <c r="AF18" s="133">
        <f t="shared" si="12"/>
        <v>-477</v>
      </c>
      <c r="AG18" s="25">
        <v>14000</v>
      </c>
      <c r="AH18" s="25">
        <v>24000</v>
      </c>
      <c r="AI18" s="25">
        <f t="shared" si="13"/>
        <v>38000</v>
      </c>
      <c r="AJ18" s="25">
        <v>21200</v>
      </c>
      <c r="AK18" s="25">
        <v>36800</v>
      </c>
      <c r="AL18" s="25">
        <f t="shared" si="14"/>
        <v>58000</v>
      </c>
      <c r="AM18" s="54">
        <f t="shared" si="2"/>
        <v>43500</v>
      </c>
      <c r="AN18" s="29">
        <f t="shared" si="3"/>
        <v>14500</v>
      </c>
    </row>
    <row r="19" spans="1:40" ht="12.75">
      <c r="A19" s="126">
        <f t="shared" si="15"/>
        <v>13</v>
      </c>
      <c r="B19" s="126" t="s">
        <v>14</v>
      </c>
      <c r="C19" s="127">
        <v>76000</v>
      </c>
      <c r="D19" s="128">
        <f>'[1]Ürituste rahastamine 2004'!J20</f>
        <v>38857</v>
      </c>
      <c r="E19" s="129">
        <v>38078</v>
      </c>
      <c r="F19" s="130">
        <v>71</v>
      </c>
      <c r="G19" s="131">
        <v>38103</v>
      </c>
      <c r="H19" s="33">
        <v>38857</v>
      </c>
      <c r="I19" s="92">
        <f t="shared" si="4"/>
        <v>0</v>
      </c>
      <c r="J19" s="25">
        <v>39330</v>
      </c>
      <c r="K19" s="25">
        <v>36870</v>
      </c>
      <c r="L19" s="132">
        <f t="shared" si="5"/>
        <v>76200</v>
      </c>
      <c r="M19" s="33">
        <f t="shared" si="17"/>
        <v>38746</v>
      </c>
      <c r="N19" s="133">
        <f t="shared" si="6"/>
        <v>-111</v>
      </c>
      <c r="O19" s="25">
        <v>76107</v>
      </c>
      <c r="P19" s="133">
        <f t="shared" si="7"/>
        <v>-93</v>
      </c>
      <c r="Q19" s="33">
        <f t="shared" si="0"/>
        <v>38671</v>
      </c>
      <c r="R19" s="25">
        <f t="shared" si="8"/>
        <v>-75</v>
      </c>
      <c r="S19" s="129">
        <v>38448</v>
      </c>
      <c r="T19" s="130">
        <f t="shared" si="16"/>
        <v>5054</v>
      </c>
      <c r="U19" s="131">
        <v>38454</v>
      </c>
      <c r="V19" s="33">
        <v>38367</v>
      </c>
      <c r="W19" s="133">
        <f t="shared" si="9"/>
        <v>-304</v>
      </c>
      <c r="X19" s="25">
        <v>29000</v>
      </c>
      <c r="Y19" s="25">
        <v>37000</v>
      </c>
      <c r="Z19" s="25">
        <f t="shared" si="10"/>
        <v>66000</v>
      </c>
      <c r="AA19" s="25">
        <f t="shared" si="11"/>
        <v>-10107</v>
      </c>
      <c r="AB19" s="25">
        <f t="shared" si="1"/>
        <v>34024</v>
      </c>
      <c r="AC19" s="134">
        <v>5346</v>
      </c>
      <c r="AD19" s="93">
        <v>38825</v>
      </c>
      <c r="AE19" s="25">
        <v>34099</v>
      </c>
      <c r="AF19" s="133">
        <f t="shared" si="12"/>
        <v>75</v>
      </c>
      <c r="AG19" s="25">
        <v>29000</v>
      </c>
      <c r="AH19" s="25">
        <v>37000</v>
      </c>
      <c r="AI19" s="25">
        <f t="shared" si="13"/>
        <v>66000</v>
      </c>
      <c r="AJ19" s="25">
        <v>38700</v>
      </c>
      <c r="AK19" s="25">
        <v>48300</v>
      </c>
      <c r="AL19" s="25">
        <f t="shared" si="14"/>
        <v>87000</v>
      </c>
      <c r="AM19" s="54">
        <f t="shared" si="2"/>
        <v>65250</v>
      </c>
      <c r="AN19" s="29">
        <f t="shared" si="3"/>
        <v>21750</v>
      </c>
    </row>
    <row r="20" spans="1:40" ht="12.75">
      <c r="A20" s="126">
        <f t="shared" si="15"/>
        <v>14</v>
      </c>
      <c r="B20" s="126" t="s">
        <v>15</v>
      </c>
      <c r="C20" s="127">
        <v>66000</v>
      </c>
      <c r="D20" s="128">
        <f>'[1]Ürituste rahastamine 2004'!J21</f>
        <v>33744</v>
      </c>
      <c r="E20" s="129">
        <v>38078</v>
      </c>
      <c r="F20" s="130">
        <v>72</v>
      </c>
      <c r="G20" s="131">
        <v>38091</v>
      </c>
      <c r="H20" s="33">
        <v>33744</v>
      </c>
      <c r="I20" s="92">
        <f t="shared" si="4"/>
        <v>0</v>
      </c>
      <c r="J20" s="25">
        <v>36240</v>
      </c>
      <c r="K20" s="25">
        <v>29830</v>
      </c>
      <c r="L20" s="132">
        <f t="shared" si="5"/>
        <v>66070</v>
      </c>
      <c r="M20" s="33">
        <f t="shared" si="17"/>
        <v>33595</v>
      </c>
      <c r="N20" s="133">
        <f t="shared" si="6"/>
        <v>-149</v>
      </c>
      <c r="O20" s="25">
        <v>66303</v>
      </c>
      <c r="P20" s="133">
        <f t="shared" si="7"/>
        <v>233</v>
      </c>
      <c r="Q20" s="33">
        <f t="shared" si="0"/>
        <v>33689</v>
      </c>
      <c r="R20" s="25">
        <f t="shared" si="8"/>
        <v>94</v>
      </c>
      <c r="S20" s="129">
        <v>38448</v>
      </c>
      <c r="T20" s="130">
        <f t="shared" si="16"/>
        <v>5055</v>
      </c>
      <c r="U20" s="131">
        <v>38453</v>
      </c>
      <c r="V20" s="33">
        <v>33425</v>
      </c>
      <c r="W20" s="133">
        <f t="shared" si="9"/>
        <v>-264</v>
      </c>
      <c r="X20" s="25">
        <v>28000</v>
      </c>
      <c r="Y20" s="25">
        <v>41000</v>
      </c>
      <c r="Z20" s="25">
        <f t="shared" si="10"/>
        <v>69000</v>
      </c>
      <c r="AA20" s="25">
        <f t="shared" si="11"/>
        <v>2697</v>
      </c>
      <c r="AB20" s="25">
        <f t="shared" si="1"/>
        <v>35570</v>
      </c>
      <c r="AC20" s="134">
        <v>5347</v>
      </c>
      <c r="AD20" s="93">
        <v>38827</v>
      </c>
      <c r="AE20" s="25">
        <v>35649</v>
      </c>
      <c r="AF20" s="133">
        <f t="shared" si="12"/>
        <v>79</v>
      </c>
      <c r="AG20" s="25">
        <v>28000</v>
      </c>
      <c r="AH20" s="25">
        <v>42000</v>
      </c>
      <c r="AI20" s="25">
        <f t="shared" si="13"/>
        <v>70000</v>
      </c>
      <c r="AJ20" s="25">
        <v>36700</v>
      </c>
      <c r="AK20" s="25">
        <v>54600</v>
      </c>
      <c r="AL20" s="25">
        <f t="shared" si="14"/>
        <v>91300</v>
      </c>
      <c r="AM20" s="54">
        <f t="shared" si="2"/>
        <v>68475</v>
      </c>
      <c r="AN20" s="29">
        <f t="shared" si="3"/>
        <v>22825</v>
      </c>
    </row>
    <row r="21" spans="1:40" ht="12.75">
      <c r="A21" s="126">
        <f t="shared" si="15"/>
        <v>15</v>
      </c>
      <c r="B21" s="126" t="s">
        <v>16</v>
      </c>
      <c r="C21" s="127">
        <v>23000</v>
      </c>
      <c r="D21" s="128">
        <f>'[1]Ürituste rahastamine 2004'!J22</f>
        <v>11759</v>
      </c>
      <c r="E21" s="129">
        <v>38078</v>
      </c>
      <c r="F21" s="130">
        <v>73</v>
      </c>
      <c r="G21" s="131">
        <v>38103</v>
      </c>
      <c r="H21" s="33">
        <v>11759</v>
      </c>
      <c r="I21" s="92">
        <f t="shared" si="4"/>
        <v>0</v>
      </c>
      <c r="J21" s="25">
        <v>10660</v>
      </c>
      <c r="K21" s="25">
        <v>11730</v>
      </c>
      <c r="L21" s="132">
        <f t="shared" si="5"/>
        <v>22390</v>
      </c>
      <c r="M21" s="33">
        <f t="shared" si="17"/>
        <v>11385</v>
      </c>
      <c r="N21" s="133">
        <f t="shared" si="6"/>
        <v>-374</v>
      </c>
      <c r="O21" s="25">
        <v>22357</v>
      </c>
      <c r="P21" s="133">
        <f t="shared" si="7"/>
        <v>-33</v>
      </c>
      <c r="Q21" s="33">
        <f t="shared" si="0"/>
        <v>11360</v>
      </c>
      <c r="R21" s="25">
        <f t="shared" si="8"/>
        <v>-25</v>
      </c>
      <c r="S21" s="129">
        <v>38448</v>
      </c>
      <c r="T21" s="130">
        <f t="shared" si="16"/>
        <v>5056</v>
      </c>
      <c r="U21" s="131">
        <v>38455</v>
      </c>
      <c r="V21" s="33">
        <v>11271</v>
      </c>
      <c r="W21" s="133">
        <f t="shared" si="9"/>
        <v>-89</v>
      </c>
      <c r="X21" s="25">
        <v>7000</v>
      </c>
      <c r="Y21" s="25">
        <v>12000</v>
      </c>
      <c r="Z21" s="25">
        <f t="shared" si="10"/>
        <v>19000</v>
      </c>
      <c r="AA21" s="25">
        <f t="shared" si="11"/>
        <v>-3357</v>
      </c>
      <c r="AB21" s="25">
        <f t="shared" si="1"/>
        <v>9795</v>
      </c>
      <c r="AC21" s="134">
        <v>5348</v>
      </c>
      <c r="AD21" s="93">
        <v>38824</v>
      </c>
      <c r="AE21" s="25">
        <v>9816</v>
      </c>
      <c r="AF21" s="133">
        <f t="shared" si="12"/>
        <v>21</v>
      </c>
      <c r="AG21" s="25">
        <v>7000</v>
      </c>
      <c r="AH21" s="25">
        <v>11000</v>
      </c>
      <c r="AI21" s="25">
        <f t="shared" si="13"/>
        <v>18000</v>
      </c>
      <c r="AJ21" s="25">
        <v>8100</v>
      </c>
      <c r="AK21" s="25">
        <v>14700</v>
      </c>
      <c r="AL21" s="25">
        <f t="shared" si="14"/>
        <v>22800</v>
      </c>
      <c r="AM21" s="54">
        <f t="shared" si="2"/>
        <v>17100</v>
      </c>
      <c r="AN21" s="29">
        <f t="shared" si="3"/>
        <v>5700</v>
      </c>
    </row>
    <row r="22" spans="1:40" ht="12.75">
      <c r="A22" s="126">
        <f>SUM(A21+1)</f>
        <v>16</v>
      </c>
      <c r="B22" s="126" t="s">
        <v>17</v>
      </c>
      <c r="C22" s="127">
        <v>40000</v>
      </c>
      <c r="D22" s="128">
        <f>'[1]Ürituste rahastamine 2004'!J24</f>
        <v>20451</v>
      </c>
      <c r="E22" s="129">
        <v>38078</v>
      </c>
      <c r="F22" s="130">
        <v>77</v>
      </c>
      <c r="G22" s="131">
        <v>38097</v>
      </c>
      <c r="H22" s="33">
        <v>20451</v>
      </c>
      <c r="I22" s="92">
        <f t="shared" si="4"/>
        <v>0</v>
      </c>
      <c r="J22" s="25">
        <v>18870</v>
      </c>
      <c r="K22" s="25">
        <v>22080</v>
      </c>
      <c r="L22" s="132">
        <f t="shared" si="5"/>
        <v>40950</v>
      </c>
      <c r="M22" s="33">
        <f t="shared" si="17"/>
        <v>20822</v>
      </c>
      <c r="N22" s="133">
        <f t="shared" si="6"/>
        <v>371</v>
      </c>
      <c r="O22" s="25">
        <v>41151</v>
      </c>
      <c r="P22" s="133">
        <f t="shared" si="7"/>
        <v>201</v>
      </c>
      <c r="Q22" s="33">
        <f t="shared" si="0"/>
        <v>20909</v>
      </c>
      <c r="R22" s="25">
        <f t="shared" si="8"/>
        <v>87</v>
      </c>
      <c r="S22" s="129">
        <v>38448</v>
      </c>
      <c r="T22" s="130" t="e">
        <f>SUM(#REF!+1)</f>
        <v>#REF!</v>
      </c>
      <c r="U22" s="131">
        <v>38457</v>
      </c>
      <c r="V22" s="33">
        <v>20745</v>
      </c>
      <c r="W22" s="133">
        <f t="shared" si="9"/>
        <v>-164</v>
      </c>
      <c r="X22" s="25">
        <v>14000</v>
      </c>
      <c r="Y22" s="25">
        <v>22000</v>
      </c>
      <c r="Z22" s="25">
        <f t="shared" si="10"/>
        <v>36000</v>
      </c>
      <c r="AA22" s="25">
        <f t="shared" si="11"/>
        <v>-5151</v>
      </c>
      <c r="AB22" s="25">
        <f t="shared" si="1"/>
        <v>18558</v>
      </c>
      <c r="AC22" s="134">
        <v>5349</v>
      </c>
      <c r="AD22" s="93">
        <v>38826</v>
      </c>
      <c r="AE22" s="25">
        <v>18600</v>
      </c>
      <c r="AF22" s="133">
        <f t="shared" si="12"/>
        <v>42</v>
      </c>
      <c r="AG22" s="25">
        <v>14000</v>
      </c>
      <c r="AH22" s="25">
        <v>21000</v>
      </c>
      <c r="AI22" s="25">
        <f t="shared" si="13"/>
        <v>35000</v>
      </c>
      <c r="AJ22" s="25">
        <v>19300</v>
      </c>
      <c r="AK22" s="25">
        <v>26400</v>
      </c>
      <c r="AL22" s="25">
        <f aca="true" t="shared" si="18" ref="AL22:AL29">SUM(AJ22:AK22)</f>
        <v>45700</v>
      </c>
      <c r="AM22" s="54">
        <f t="shared" si="2"/>
        <v>34275</v>
      </c>
      <c r="AN22" s="29">
        <f t="shared" si="3"/>
        <v>11425</v>
      </c>
    </row>
    <row r="23" spans="1:40" ht="12.75">
      <c r="A23" s="126">
        <f t="shared" si="15"/>
        <v>17</v>
      </c>
      <c r="B23" s="126" t="s">
        <v>18</v>
      </c>
      <c r="C23" s="127">
        <v>24000</v>
      </c>
      <c r="D23" s="128">
        <f>'[1]Ürituste rahastamine 2004'!J25</f>
        <v>12271</v>
      </c>
      <c r="E23" s="129">
        <v>38078</v>
      </c>
      <c r="F23" s="130">
        <v>78</v>
      </c>
      <c r="G23" s="131">
        <v>38104</v>
      </c>
      <c r="H23" s="33">
        <v>12271</v>
      </c>
      <c r="I23" s="92">
        <f t="shared" si="4"/>
        <v>0</v>
      </c>
      <c r="J23" s="25">
        <v>11130</v>
      </c>
      <c r="K23" s="25">
        <v>12250</v>
      </c>
      <c r="L23" s="132">
        <f t="shared" si="5"/>
        <v>23380</v>
      </c>
      <c r="M23" s="33">
        <f t="shared" si="17"/>
        <v>11888</v>
      </c>
      <c r="N23" s="133">
        <f t="shared" si="6"/>
        <v>-383</v>
      </c>
      <c r="O23" s="25">
        <v>23508</v>
      </c>
      <c r="P23" s="133">
        <f t="shared" si="7"/>
        <v>128</v>
      </c>
      <c r="Q23" s="33">
        <f t="shared" si="0"/>
        <v>11945</v>
      </c>
      <c r="R23" s="25">
        <f t="shared" si="8"/>
        <v>57</v>
      </c>
      <c r="S23" s="129">
        <v>38448</v>
      </c>
      <c r="T23" s="130" t="e">
        <f t="shared" si="16"/>
        <v>#REF!</v>
      </c>
      <c r="U23" s="131">
        <v>38471</v>
      </c>
      <c r="V23" s="33">
        <v>11851</v>
      </c>
      <c r="W23" s="133">
        <f t="shared" si="9"/>
        <v>-94</v>
      </c>
      <c r="X23" s="25">
        <v>8000</v>
      </c>
      <c r="Y23" s="25">
        <v>12000</v>
      </c>
      <c r="Z23" s="25">
        <f t="shared" si="10"/>
        <v>20000</v>
      </c>
      <c r="AA23" s="25">
        <f t="shared" si="11"/>
        <v>-3508</v>
      </c>
      <c r="AB23" s="25">
        <f t="shared" si="1"/>
        <v>10310</v>
      </c>
      <c r="AC23" s="134">
        <v>5350</v>
      </c>
      <c r="AD23" s="93">
        <v>38824</v>
      </c>
      <c r="AE23" s="25">
        <v>10333</v>
      </c>
      <c r="AF23" s="133">
        <f t="shared" si="12"/>
        <v>23</v>
      </c>
      <c r="AG23" s="25">
        <v>7000</v>
      </c>
      <c r="AH23" s="25">
        <v>12000</v>
      </c>
      <c r="AI23" s="25">
        <f t="shared" si="13"/>
        <v>19000</v>
      </c>
      <c r="AJ23" s="25">
        <v>8700</v>
      </c>
      <c r="AK23" s="25">
        <v>14900</v>
      </c>
      <c r="AL23" s="25">
        <f t="shared" si="18"/>
        <v>23600</v>
      </c>
      <c r="AM23" s="54">
        <f t="shared" si="2"/>
        <v>17700</v>
      </c>
      <c r="AN23" s="29">
        <f t="shared" si="3"/>
        <v>5900</v>
      </c>
    </row>
    <row r="24" spans="1:40" ht="12.75">
      <c r="A24" s="126">
        <f t="shared" si="15"/>
        <v>18</v>
      </c>
      <c r="B24" s="126" t="s">
        <v>19</v>
      </c>
      <c r="C24" s="127">
        <v>54000</v>
      </c>
      <c r="D24" s="128">
        <f>'[1]Ürituste rahastamine 2004'!J26</f>
        <v>27609</v>
      </c>
      <c r="E24" s="129">
        <v>38078</v>
      </c>
      <c r="F24" s="130">
        <v>80</v>
      </c>
      <c r="G24" s="131">
        <v>38091</v>
      </c>
      <c r="H24" s="33">
        <v>27609</v>
      </c>
      <c r="I24" s="92">
        <f t="shared" si="4"/>
        <v>0</v>
      </c>
      <c r="J24" s="25">
        <v>25750</v>
      </c>
      <c r="K24" s="25">
        <v>27810</v>
      </c>
      <c r="L24" s="132">
        <f t="shared" si="5"/>
        <v>53560</v>
      </c>
      <c r="M24" s="33">
        <f t="shared" si="17"/>
        <v>27234</v>
      </c>
      <c r="N24" s="133">
        <f t="shared" si="6"/>
        <v>-375</v>
      </c>
      <c r="O24" s="25">
        <v>53504</v>
      </c>
      <c r="P24" s="133">
        <f t="shared" si="7"/>
        <v>-56</v>
      </c>
      <c r="Q24" s="33">
        <f t="shared" si="0"/>
        <v>27186</v>
      </c>
      <c r="R24" s="25">
        <f t="shared" si="8"/>
        <v>-48</v>
      </c>
      <c r="S24" s="129">
        <v>38448</v>
      </c>
      <c r="T24" s="130" t="e">
        <f t="shared" si="16"/>
        <v>#REF!</v>
      </c>
      <c r="U24" s="131">
        <v>38462</v>
      </c>
      <c r="V24" s="33">
        <v>26973</v>
      </c>
      <c r="W24" s="133">
        <f t="shared" si="9"/>
        <v>-213</v>
      </c>
      <c r="X24" s="25">
        <v>19000</v>
      </c>
      <c r="Y24" s="25">
        <v>29000</v>
      </c>
      <c r="Z24" s="25">
        <f t="shared" si="10"/>
        <v>48000</v>
      </c>
      <c r="AA24" s="25">
        <f t="shared" si="11"/>
        <v>-5504</v>
      </c>
      <c r="AB24" s="25">
        <f t="shared" si="1"/>
        <v>24744</v>
      </c>
      <c r="AC24" s="134">
        <v>5351</v>
      </c>
      <c r="AD24" s="93">
        <v>38820</v>
      </c>
      <c r="AE24" s="25">
        <v>24799</v>
      </c>
      <c r="AF24" s="133">
        <f t="shared" si="12"/>
        <v>55</v>
      </c>
      <c r="AG24" s="25">
        <v>19000</v>
      </c>
      <c r="AH24" s="25">
        <v>29000</v>
      </c>
      <c r="AI24" s="25">
        <f t="shared" si="13"/>
        <v>48000</v>
      </c>
      <c r="AJ24" s="25">
        <v>24300</v>
      </c>
      <c r="AK24" s="25">
        <v>39600</v>
      </c>
      <c r="AL24" s="25">
        <f t="shared" si="18"/>
        <v>63900</v>
      </c>
      <c r="AM24" s="54">
        <f t="shared" si="2"/>
        <v>47925</v>
      </c>
      <c r="AN24" s="29">
        <f t="shared" si="3"/>
        <v>15975</v>
      </c>
    </row>
    <row r="25" spans="1:40" ht="12.75">
      <c r="A25" s="126">
        <f t="shared" si="15"/>
        <v>19</v>
      </c>
      <c r="B25" s="126" t="s">
        <v>20</v>
      </c>
      <c r="C25" s="127">
        <v>89000</v>
      </c>
      <c r="D25" s="128">
        <f>'[1]Ürituste rahastamine 2004'!J27</f>
        <v>45504</v>
      </c>
      <c r="E25" s="129">
        <v>38078</v>
      </c>
      <c r="F25" s="130">
        <v>81</v>
      </c>
      <c r="G25" s="131">
        <v>38167</v>
      </c>
      <c r="H25" s="33">
        <v>45504</v>
      </c>
      <c r="I25" s="92">
        <f t="shared" si="4"/>
        <v>0</v>
      </c>
      <c r="J25" s="25">
        <v>39720</v>
      </c>
      <c r="K25" s="25">
        <v>52040</v>
      </c>
      <c r="L25" s="132">
        <f t="shared" si="5"/>
        <v>91760</v>
      </c>
      <c r="M25" s="33">
        <f t="shared" si="17"/>
        <v>46658</v>
      </c>
      <c r="N25" s="133">
        <f t="shared" si="6"/>
        <v>1154</v>
      </c>
      <c r="O25" s="25">
        <v>92275</v>
      </c>
      <c r="P25" s="133">
        <f t="shared" si="7"/>
        <v>515</v>
      </c>
      <c r="Q25" s="33">
        <f t="shared" si="0"/>
        <v>46886</v>
      </c>
      <c r="R25" s="25">
        <f t="shared" si="8"/>
        <v>228</v>
      </c>
      <c r="S25" s="129">
        <v>38448</v>
      </c>
      <c r="T25" s="130" t="e">
        <f t="shared" si="16"/>
        <v>#REF!</v>
      </c>
      <c r="U25" s="131">
        <v>38456</v>
      </c>
      <c r="V25" s="33">
        <v>46518</v>
      </c>
      <c r="W25" s="133">
        <f t="shared" si="9"/>
        <v>-368</v>
      </c>
      <c r="X25" s="25">
        <v>32000</v>
      </c>
      <c r="Y25" s="25">
        <v>55000</v>
      </c>
      <c r="Z25" s="25">
        <f t="shared" si="10"/>
        <v>87000</v>
      </c>
      <c r="AA25" s="25">
        <f t="shared" si="11"/>
        <v>-5275</v>
      </c>
      <c r="AB25" s="25">
        <f t="shared" si="1"/>
        <v>44849</v>
      </c>
      <c r="AC25" s="134">
        <v>5352</v>
      </c>
      <c r="AD25" s="93">
        <v>38820</v>
      </c>
      <c r="AE25" s="25">
        <v>44432</v>
      </c>
      <c r="AF25" s="133">
        <f t="shared" si="12"/>
        <v>-417</v>
      </c>
      <c r="AG25" s="25">
        <v>35000</v>
      </c>
      <c r="AH25" s="25">
        <v>31000</v>
      </c>
      <c r="AI25" s="25">
        <f t="shared" si="13"/>
        <v>66000</v>
      </c>
      <c r="AJ25" s="25">
        <v>56200</v>
      </c>
      <c r="AK25" s="25">
        <v>96200</v>
      </c>
      <c r="AL25" s="25">
        <f t="shared" si="18"/>
        <v>152400</v>
      </c>
      <c r="AM25" s="54">
        <f t="shared" si="2"/>
        <v>114300</v>
      </c>
      <c r="AN25" s="29">
        <f t="shared" si="3"/>
        <v>38100</v>
      </c>
    </row>
    <row r="26" spans="1:40" ht="12.75">
      <c r="A26" s="126">
        <f t="shared" si="15"/>
        <v>20</v>
      </c>
      <c r="B26" s="126" t="s">
        <v>21</v>
      </c>
      <c r="C26" s="127">
        <v>93000</v>
      </c>
      <c r="D26" s="128">
        <f>'[1]Ürituste rahastamine 2004'!J28</f>
        <v>47549</v>
      </c>
      <c r="E26" s="129">
        <v>38078</v>
      </c>
      <c r="F26" s="130">
        <v>82</v>
      </c>
      <c r="G26" s="131">
        <v>38099</v>
      </c>
      <c r="H26" s="33">
        <v>47549</v>
      </c>
      <c r="I26" s="92">
        <f t="shared" si="4"/>
        <v>0</v>
      </c>
      <c r="J26" s="25">
        <v>47800</v>
      </c>
      <c r="K26" s="25">
        <v>49940</v>
      </c>
      <c r="L26" s="132">
        <f t="shared" si="5"/>
        <v>97740</v>
      </c>
      <c r="M26" s="33">
        <f t="shared" si="17"/>
        <v>49699</v>
      </c>
      <c r="N26" s="133">
        <f t="shared" si="6"/>
        <v>2150</v>
      </c>
      <c r="O26" s="25">
        <v>98253</v>
      </c>
      <c r="P26" s="133">
        <f t="shared" si="7"/>
        <v>513</v>
      </c>
      <c r="Q26" s="33">
        <f t="shared" si="0"/>
        <v>49923</v>
      </c>
      <c r="R26" s="25">
        <f t="shared" si="8"/>
        <v>224</v>
      </c>
      <c r="S26" s="129">
        <v>38448</v>
      </c>
      <c r="T26" s="130" t="e">
        <f t="shared" si="16"/>
        <v>#REF!</v>
      </c>
      <c r="U26" s="131">
        <v>38453</v>
      </c>
      <c r="V26" s="33">
        <v>49532</v>
      </c>
      <c r="W26" s="133">
        <f t="shared" si="9"/>
        <v>-391</v>
      </c>
      <c r="X26" s="25">
        <v>37000</v>
      </c>
      <c r="Y26" s="25">
        <v>53000</v>
      </c>
      <c r="Z26" s="25">
        <f t="shared" si="10"/>
        <v>90000</v>
      </c>
      <c r="AA26" s="25">
        <f t="shared" si="11"/>
        <v>-8253</v>
      </c>
      <c r="AB26" s="25">
        <f t="shared" si="1"/>
        <v>46396</v>
      </c>
      <c r="AC26" s="134">
        <v>5353</v>
      </c>
      <c r="AD26" s="93">
        <v>38820</v>
      </c>
      <c r="AE26" s="25">
        <v>46499</v>
      </c>
      <c r="AF26" s="133">
        <f t="shared" si="12"/>
        <v>103</v>
      </c>
      <c r="AG26" s="25">
        <v>37000</v>
      </c>
      <c r="AH26" s="25">
        <v>55000</v>
      </c>
      <c r="AI26" s="25">
        <f t="shared" si="13"/>
        <v>92000</v>
      </c>
      <c r="AJ26" s="25">
        <v>52300</v>
      </c>
      <c r="AK26" s="25">
        <v>75700</v>
      </c>
      <c r="AL26" s="25">
        <f t="shared" si="18"/>
        <v>128000</v>
      </c>
      <c r="AM26" s="54">
        <f t="shared" si="2"/>
        <v>96000</v>
      </c>
      <c r="AN26" s="29">
        <f t="shared" si="3"/>
        <v>32000</v>
      </c>
    </row>
    <row r="27" spans="1:40" s="24" customFormat="1" ht="12.75">
      <c r="A27" s="126">
        <f t="shared" si="15"/>
        <v>21</v>
      </c>
      <c r="B27" s="126" t="s">
        <v>22</v>
      </c>
      <c r="C27" s="127">
        <v>54000</v>
      </c>
      <c r="D27" s="128">
        <f>'[1]Ürituste rahastamine 2004'!J29</f>
        <v>27609</v>
      </c>
      <c r="E27" s="129">
        <v>38078</v>
      </c>
      <c r="F27" s="130">
        <v>84</v>
      </c>
      <c r="G27" s="131">
        <v>38117</v>
      </c>
      <c r="H27" s="33">
        <v>27609</v>
      </c>
      <c r="I27" s="92">
        <f t="shared" si="4"/>
        <v>0</v>
      </c>
      <c r="J27" s="25">
        <v>6660</v>
      </c>
      <c r="K27" s="25">
        <v>47720</v>
      </c>
      <c r="L27" s="132">
        <f t="shared" si="5"/>
        <v>54380</v>
      </c>
      <c r="M27" s="33">
        <f t="shared" si="17"/>
        <v>27651</v>
      </c>
      <c r="N27" s="133">
        <f t="shared" si="6"/>
        <v>42</v>
      </c>
      <c r="O27" s="25">
        <v>54719</v>
      </c>
      <c r="P27" s="133">
        <f t="shared" si="7"/>
        <v>339</v>
      </c>
      <c r="Q27" s="33">
        <f t="shared" si="0"/>
        <v>27803</v>
      </c>
      <c r="R27" s="25">
        <f t="shared" si="8"/>
        <v>152</v>
      </c>
      <c r="S27" s="129">
        <v>38448</v>
      </c>
      <c r="T27" s="130" t="e">
        <f t="shared" si="16"/>
        <v>#REF!</v>
      </c>
      <c r="U27" s="131">
        <v>38462</v>
      </c>
      <c r="V27" s="33">
        <v>27585</v>
      </c>
      <c r="W27" s="133">
        <f t="shared" si="9"/>
        <v>-218</v>
      </c>
      <c r="X27" s="25">
        <v>13000</v>
      </c>
      <c r="Y27" s="25">
        <v>50000</v>
      </c>
      <c r="Z27" s="25">
        <f t="shared" si="10"/>
        <v>63000</v>
      </c>
      <c r="AA27" s="25">
        <f t="shared" si="11"/>
        <v>8281</v>
      </c>
      <c r="AB27" s="25">
        <f t="shared" si="1"/>
        <v>32477</v>
      </c>
      <c r="AC27" s="134">
        <v>5356</v>
      </c>
      <c r="AD27" s="93">
        <v>38819</v>
      </c>
      <c r="AE27" s="25">
        <v>32033</v>
      </c>
      <c r="AF27" s="133">
        <f t="shared" si="12"/>
        <v>-444</v>
      </c>
      <c r="AG27" s="25">
        <v>16000</v>
      </c>
      <c r="AH27" s="25">
        <v>52000</v>
      </c>
      <c r="AI27" s="25">
        <f t="shared" si="13"/>
        <v>68000</v>
      </c>
      <c r="AJ27" s="25">
        <v>30300</v>
      </c>
      <c r="AK27" s="25">
        <v>74600</v>
      </c>
      <c r="AL27" s="25">
        <f t="shared" si="18"/>
        <v>104900</v>
      </c>
      <c r="AM27" s="54">
        <f t="shared" si="2"/>
        <v>78675</v>
      </c>
      <c r="AN27" s="29">
        <f t="shared" si="3"/>
        <v>26225</v>
      </c>
    </row>
    <row r="28" spans="1:40" ht="12.75">
      <c r="A28" s="126">
        <f t="shared" si="15"/>
        <v>22</v>
      </c>
      <c r="B28" s="126" t="s">
        <v>23</v>
      </c>
      <c r="C28" s="127">
        <v>28000</v>
      </c>
      <c r="D28" s="128">
        <f>'[1]Ürituste rahastamine 2004'!J30</f>
        <v>14316</v>
      </c>
      <c r="E28" s="129">
        <v>38078</v>
      </c>
      <c r="F28" s="130">
        <v>85</v>
      </c>
      <c r="G28" s="131">
        <v>38296</v>
      </c>
      <c r="H28" s="33">
        <v>14316</v>
      </c>
      <c r="I28" s="92">
        <f t="shared" si="4"/>
        <v>0</v>
      </c>
      <c r="J28" s="25">
        <v>12250</v>
      </c>
      <c r="K28" s="25">
        <v>16220</v>
      </c>
      <c r="L28" s="132">
        <f t="shared" si="5"/>
        <v>28470</v>
      </c>
      <c r="M28" s="33">
        <f t="shared" si="17"/>
        <v>14476</v>
      </c>
      <c r="N28" s="133">
        <f t="shared" si="6"/>
        <v>160</v>
      </c>
      <c r="O28" s="25">
        <v>28414</v>
      </c>
      <c r="P28" s="133">
        <f t="shared" si="7"/>
        <v>-56</v>
      </c>
      <c r="Q28" s="33">
        <f t="shared" si="0"/>
        <v>14437</v>
      </c>
      <c r="R28" s="25">
        <f t="shared" si="8"/>
        <v>-39</v>
      </c>
      <c r="S28" s="129">
        <v>38448</v>
      </c>
      <c r="T28" s="130" t="e">
        <f t="shared" si="16"/>
        <v>#REF!</v>
      </c>
      <c r="U28" s="131">
        <v>38453</v>
      </c>
      <c r="V28" s="33">
        <v>14324</v>
      </c>
      <c r="W28" s="133">
        <f t="shared" si="9"/>
        <v>-113</v>
      </c>
      <c r="X28" s="25">
        <v>9000</v>
      </c>
      <c r="Y28" s="25">
        <v>16000</v>
      </c>
      <c r="Z28" s="25">
        <f t="shared" si="10"/>
        <v>25000</v>
      </c>
      <c r="AA28" s="25">
        <f t="shared" si="11"/>
        <v>-3414</v>
      </c>
      <c r="AB28" s="25">
        <f t="shared" si="1"/>
        <v>12888</v>
      </c>
      <c r="AC28" s="134">
        <v>5354</v>
      </c>
      <c r="AD28" s="93">
        <v>38827</v>
      </c>
      <c r="AE28" s="25">
        <v>13433</v>
      </c>
      <c r="AF28" s="133">
        <f t="shared" si="12"/>
        <v>545</v>
      </c>
      <c r="AG28" s="25">
        <v>9000</v>
      </c>
      <c r="AH28" s="25">
        <v>16000</v>
      </c>
      <c r="AI28" s="25">
        <f t="shared" si="13"/>
        <v>25000</v>
      </c>
      <c r="AJ28" s="25">
        <v>12000</v>
      </c>
      <c r="AK28" s="25">
        <v>20900</v>
      </c>
      <c r="AL28" s="25">
        <f t="shared" si="18"/>
        <v>32900</v>
      </c>
      <c r="AM28" s="54">
        <f t="shared" si="2"/>
        <v>24675</v>
      </c>
      <c r="AN28" s="29">
        <f t="shared" si="3"/>
        <v>8225</v>
      </c>
    </row>
    <row r="29" spans="1:40" ht="12.75">
      <c r="A29" s="126">
        <f t="shared" si="15"/>
        <v>23</v>
      </c>
      <c r="B29" s="126" t="s">
        <v>24</v>
      </c>
      <c r="C29" s="127">
        <v>107000</v>
      </c>
      <c r="D29" s="128">
        <f>'[1]Ürituste rahastamine 2004'!J31</f>
        <v>54707</v>
      </c>
      <c r="E29" s="129">
        <v>38078</v>
      </c>
      <c r="F29" s="130">
        <v>86</v>
      </c>
      <c r="G29" s="131">
        <v>38090</v>
      </c>
      <c r="H29" s="33">
        <v>54707</v>
      </c>
      <c r="I29" s="92">
        <f t="shared" si="4"/>
        <v>0</v>
      </c>
      <c r="J29" s="25">
        <v>46900</v>
      </c>
      <c r="K29" s="25">
        <v>68810</v>
      </c>
      <c r="L29" s="132">
        <f t="shared" si="5"/>
        <v>115710</v>
      </c>
      <c r="M29" s="33">
        <f t="shared" si="17"/>
        <v>58836</v>
      </c>
      <c r="N29" s="133">
        <f t="shared" si="6"/>
        <v>4129</v>
      </c>
      <c r="O29" s="25">
        <v>116103</v>
      </c>
      <c r="P29" s="133">
        <f t="shared" si="7"/>
        <v>393</v>
      </c>
      <c r="Q29" s="33">
        <f t="shared" si="0"/>
        <v>58993</v>
      </c>
      <c r="R29" s="25">
        <f t="shared" si="8"/>
        <v>157</v>
      </c>
      <c r="S29" s="129">
        <v>38448</v>
      </c>
      <c r="T29" s="130" t="e">
        <f t="shared" si="16"/>
        <v>#REF!</v>
      </c>
      <c r="U29" s="131">
        <v>38462</v>
      </c>
      <c r="V29" s="33">
        <v>58530</v>
      </c>
      <c r="W29" s="133">
        <f t="shared" si="9"/>
        <v>-463</v>
      </c>
      <c r="X29" s="25">
        <v>39000</v>
      </c>
      <c r="Y29" s="25">
        <v>80000</v>
      </c>
      <c r="Z29" s="25">
        <f t="shared" si="10"/>
        <v>119000</v>
      </c>
      <c r="AA29" s="25">
        <f t="shared" si="11"/>
        <v>2897</v>
      </c>
      <c r="AB29" s="25">
        <f t="shared" si="1"/>
        <v>61346</v>
      </c>
      <c r="AC29" s="134">
        <v>5355</v>
      </c>
      <c r="AD29" s="93">
        <v>38832</v>
      </c>
      <c r="AE29" s="25">
        <v>60449</v>
      </c>
      <c r="AF29" s="133">
        <f t="shared" si="12"/>
        <v>-897</v>
      </c>
      <c r="AG29" s="25">
        <v>48000</v>
      </c>
      <c r="AH29" s="25">
        <v>89000</v>
      </c>
      <c r="AI29" s="25">
        <f t="shared" si="13"/>
        <v>137000</v>
      </c>
      <c r="AJ29" s="25">
        <v>77600</v>
      </c>
      <c r="AK29" s="25">
        <v>131800</v>
      </c>
      <c r="AL29" s="25">
        <f t="shared" si="18"/>
        <v>209400</v>
      </c>
      <c r="AM29" s="54">
        <f t="shared" si="2"/>
        <v>157050</v>
      </c>
      <c r="AN29" s="29">
        <f t="shared" si="3"/>
        <v>52350</v>
      </c>
    </row>
    <row r="30" spans="1:40" s="38" customFormat="1" ht="12.75">
      <c r="A30" s="41"/>
      <c r="B30" s="42" t="s">
        <v>1</v>
      </c>
      <c r="C30" s="108">
        <f>SUM(C7:C29)</f>
        <v>1451000</v>
      </c>
      <c r="D30" s="95">
        <f>SUM(D7:D29)</f>
        <v>741865</v>
      </c>
      <c r="E30" s="109"/>
      <c r="F30" s="110"/>
      <c r="G30" s="111"/>
      <c r="H30" s="112">
        <f aca="true" t="shared" si="19" ref="H30:N30">SUM(H7:H29)</f>
        <v>727038</v>
      </c>
      <c r="I30" s="113">
        <f t="shared" si="19"/>
        <v>-14827</v>
      </c>
      <c r="J30" s="114">
        <f t="shared" si="19"/>
        <v>676060</v>
      </c>
      <c r="K30" s="48">
        <f t="shared" si="19"/>
        <v>795000</v>
      </c>
      <c r="L30" s="48">
        <f t="shared" si="19"/>
        <v>1471060</v>
      </c>
      <c r="M30" s="48">
        <f t="shared" si="19"/>
        <v>747996</v>
      </c>
      <c r="N30" s="48">
        <f t="shared" si="19"/>
        <v>6131</v>
      </c>
      <c r="O30" s="39">
        <f>SUM(O7:O29)</f>
        <v>1472124</v>
      </c>
      <c r="P30" s="11">
        <f>SUM(O30-L30)</f>
        <v>1064</v>
      </c>
      <c r="Q30" s="45">
        <f>SUM(Q7:Q29)</f>
        <v>748000</v>
      </c>
      <c r="R30" s="17">
        <f>SUM(Q30-M30)</f>
        <v>4</v>
      </c>
      <c r="S30" s="109"/>
      <c r="T30" s="110"/>
      <c r="U30" s="111"/>
      <c r="V30" s="112">
        <f aca="true" t="shared" si="20" ref="V30:AB30">SUM(V7:V29)</f>
        <v>742132</v>
      </c>
      <c r="W30" s="115">
        <f t="shared" si="20"/>
        <v>-5868</v>
      </c>
      <c r="X30" s="39">
        <f t="shared" si="20"/>
        <v>520000</v>
      </c>
      <c r="Y30" s="39">
        <f t="shared" si="20"/>
        <v>834000</v>
      </c>
      <c r="Z30" s="39">
        <f t="shared" si="20"/>
        <v>1354000</v>
      </c>
      <c r="AA30" s="39">
        <f t="shared" si="20"/>
        <v>-118124</v>
      </c>
      <c r="AB30" s="39">
        <f t="shared" si="20"/>
        <v>698000</v>
      </c>
      <c r="AC30" s="39"/>
      <c r="AE30" s="39">
        <f aca="true" t="shared" si="21" ref="AE30:AL30">SUM(AE7:AE29)</f>
        <v>698000</v>
      </c>
      <c r="AF30" s="47">
        <f t="shared" si="21"/>
        <v>0</v>
      </c>
      <c r="AG30" s="89">
        <f t="shared" si="21"/>
        <v>539000</v>
      </c>
      <c r="AH30" s="48">
        <f t="shared" si="21"/>
        <v>835000</v>
      </c>
      <c r="AI30" s="48">
        <f t="shared" si="21"/>
        <v>1374000</v>
      </c>
      <c r="AJ30" s="52">
        <f t="shared" si="21"/>
        <v>765400</v>
      </c>
      <c r="AK30" s="52">
        <f t="shared" si="21"/>
        <v>1193100</v>
      </c>
      <c r="AL30" s="39">
        <f t="shared" si="21"/>
        <v>1958500</v>
      </c>
      <c r="AM30" s="100">
        <f>SUM(AM7:AM29)</f>
        <v>1468875</v>
      </c>
      <c r="AN30" s="39">
        <f>SUM(AN7:AN29)</f>
        <v>489625</v>
      </c>
    </row>
    <row r="31" spans="12:39" ht="13.5" thickBot="1">
      <c r="L31" s="45">
        <v>748000</v>
      </c>
      <c r="M31" s="46">
        <f>SUM(L31/L30)</f>
        <v>0.5084768806166982</v>
      </c>
      <c r="N31" s="47"/>
      <c r="O31" s="46">
        <f>SUM(L31/O30)</f>
        <v>0.5081093712214461</v>
      </c>
      <c r="V31" s="53">
        <f>SUM(V30/Q30)</f>
        <v>0.9921550802139038</v>
      </c>
      <c r="AB31" s="83">
        <f>748000-50000</f>
        <v>698000</v>
      </c>
      <c r="AC31" s="83"/>
      <c r="AE31" s="94">
        <f>SUM(AE30/AB30)</f>
        <v>1</v>
      </c>
      <c r="AG31" s="17"/>
      <c r="AH31" s="17"/>
      <c r="AI31" s="17"/>
      <c r="AM31" s="17"/>
    </row>
    <row r="32" spans="37:39" ht="13.5" thickBot="1">
      <c r="AK32" s="191" t="s">
        <v>81</v>
      </c>
      <c r="AL32" s="192"/>
      <c r="AM32" s="193">
        <f>1494000-AM30</f>
        <v>25125</v>
      </c>
    </row>
    <row r="34" ht="12.75" hidden="1"/>
    <row r="35" spans="2:16" ht="12.75" hidden="1">
      <c r="B35" t="s">
        <v>58</v>
      </c>
      <c r="O35" s="17">
        <v>677000</v>
      </c>
      <c r="P35" s="17"/>
    </row>
    <row r="36" spans="2:16" ht="12.75" hidden="1">
      <c r="B36" t="s">
        <v>57</v>
      </c>
      <c r="O36" s="17"/>
      <c r="P36" s="17">
        <v>522000</v>
      </c>
    </row>
    <row r="37" spans="2:16" ht="12.75" hidden="1">
      <c r="B37" t="s">
        <v>56</v>
      </c>
      <c r="O37" s="17">
        <v>807000</v>
      </c>
      <c r="P37" s="17">
        <v>831000</v>
      </c>
    </row>
    <row r="38" spans="15:17" ht="12.75" hidden="1">
      <c r="O38" s="17">
        <f>SUM(O35:O37)</f>
        <v>1484000</v>
      </c>
      <c r="P38" s="17">
        <f>SUM(P35:P37)</f>
        <v>1353000</v>
      </c>
      <c r="Q38" s="52">
        <f>SUM(P38-O38)</f>
        <v>-131000</v>
      </c>
    </row>
    <row r="39" spans="2:38" ht="12.75" hidden="1">
      <c r="B39" s="16" t="s">
        <v>67</v>
      </c>
      <c r="C39" s="16"/>
      <c r="D39" s="10"/>
      <c r="E39" s="16"/>
      <c r="F39" s="13"/>
      <c r="G39" s="16"/>
      <c r="H39" s="16"/>
      <c r="I39" s="21"/>
      <c r="J39" s="16"/>
      <c r="K39" s="16"/>
      <c r="L39" s="16"/>
      <c r="M39" s="16"/>
      <c r="N39" s="21"/>
      <c r="O39" s="97">
        <v>2005</v>
      </c>
      <c r="P39" s="97">
        <v>2006</v>
      </c>
      <c r="Q39" s="10"/>
      <c r="R39" s="16"/>
      <c r="S39" s="16"/>
      <c r="T39" s="16"/>
      <c r="U39" s="16"/>
      <c r="V39" s="16"/>
      <c r="W39" s="21"/>
      <c r="X39" s="16"/>
      <c r="Y39" s="16"/>
      <c r="Z39" s="16"/>
      <c r="AA39" s="16"/>
      <c r="AB39" s="10"/>
      <c r="AC39" s="10"/>
      <c r="AD39" s="16"/>
      <c r="AE39" s="10"/>
      <c r="AF39" s="21"/>
      <c r="AG39" s="16"/>
      <c r="AH39" s="16"/>
      <c r="AI39" s="16"/>
      <c r="AJ39" s="16"/>
      <c r="AK39" s="16"/>
      <c r="AL39" s="16"/>
    </row>
    <row r="40" ht="12.75" hidden="1">
      <c r="B40" t="s">
        <v>9</v>
      </c>
    </row>
    <row r="41" ht="12.75" hidden="1">
      <c r="B41" t="s">
        <v>0</v>
      </c>
    </row>
    <row r="42" ht="12.75" hidden="1">
      <c r="B42" t="s">
        <v>13</v>
      </c>
    </row>
    <row r="43" ht="12.75" hidden="1">
      <c r="B43" t="s">
        <v>14</v>
      </c>
    </row>
    <row r="44" ht="12.75" hidden="1">
      <c r="B44" t="s">
        <v>15</v>
      </c>
    </row>
    <row r="45" ht="12.75" hidden="1">
      <c r="B45" t="s">
        <v>16</v>
      </c>
    </row>
    <row r="46" ht="12.75" hidden="1">
      <c r="B46" t="s">
        <v>19</v>
      </c>
    </row>
    <row r="47" ht="12.75" hidden="1">
      <c r="B47" t="s">
        <v>20</v>
      </c>
    </row>
    <row r="48" ht="12.75" hidden="1">
      <c r="B48" t="s">
        <v>21</v>
      </c>
    </row>
    <row r="49" ht="12.75" hidden="1">
      <c r="B49" t="s">
        <v>23</v>
      </c>
    </row>
    <row r="50" ht="12.75" hidden="1">
      <c r="B50" t="s">
        <v>7</v>
      </c>
    </row>
    <row r="51" ht="12.75" hidden="1">
      <c r="B51" t="s">
        <v>4</v>
      </c>
    </row>
    <row r="52" ht="12.75" hidden="1">
      <c r="B52" t="s">
        <v>5</v>
      </c>
    </row>
    <row r="53" ht="12.75" hidden="1"/>
  </sheetData>
  <sheetProtection/>
  <mergeCells count="9">
    <mergeCell ref="AG2:AI2"/>
    <mergeCell ref="AJ2:AL2"/>
    <mergeCell ref="AG1:AL1"/>
    <mergeCell ref="X2:Z2"/>
    <mergeCell ref="G2:H2"/>
    <mergeCell ref="C1:I1"/>
    <mergeCell ref="U2:V2"/>
    <mergeCell ref="J1:V1"/>
    <mergeCell ref="X1:AF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&amp;CTäiendavad vahendid ühisüritusteks 2008</oddHeader>
    <oddFooter>&amp;L&amp;F - &amp;A&amp;C&amp;D&amp;R&amp;P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Omavalitsuste 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Rentik</dc:creator>
  <cp:keywords/>
  <dc:description/>
  <cp:lastModifiedBy>Aarne</cp:lastModifiedBy>
  <cp:lastPrinted>2009-03-10T06:53:59Z</cp:lastPrinted>
  <dcterms:created xsi:type="dcterms:W3CDTF">2001-08-09T09:56:50Z</dcterms:created>
  <dcterms:modified xsi:type="dcterms:W3CDTF">2009-03-12T15:52:37Z</dcterms:modified>
  <cp:category/>
  <cp:version/>
  <cp:contentType/>
  <cp:contentStatus/>
</cp:coreProperties>
</file>